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3026C0F-E887-4C47-A8A6-F083576A3A40}" xr6:coauthVersionLast="45" xr6:coauthVersionMax="45" xr10:uidLastSave="{00000000-0000-0000-0000-000000000000}"/>
  <workbookProtection workbookAlgorithmName="SHA-512" workbookHashValue="MyWoNgXf6I0xIfexJGT38FFTrsO7eNFXSCBpWHIkxcC0vGWfv5eee/jVpXO29ZEoDAmrx/jOJYJEbcUFZZj4JQ==" workbookSaltValue="WBoeypnhIaScjFxTzysRXQ==" workbookSpinCount="100000" lockStructure="1"/>
  <bookViews>
    <workbookView xWindow="3480" yWindow="580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M74" i="97" l="1"/>
  <c r="F74" i="97"/>
  <c r="M73" i="97"/>
  <c r="F73" i="97"/>
  <c r="J72" i="97"/>
  <c r="F72" i="97"/>
  <c r="M71" i="97"/>
  <c r="R57" i="81" l="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E2178" i="97"/>
  <c r="D2178" i="97"/>
  <c r="C2178" i="97"/>
  <c r="B2178" i="97"/>
  <c r="E2177" i="97"/>
  <c r="D2177" i="97"/>
  <c r="C2177" i="97"/>
  <c r="B2177" i="97"/>
  <c r="E2176" i="97"/>
  <c r="D2176" i="97"/>
  <c r="C2176" i="97"/>
  <c r="B2176" i="97"/>
  <c r="E2175" i="97"/>
  <c r="D2175" i="97"/>
  <c r="C2175" i="97"/>
  <c r="B2175" i="97"/>
  <c r="E2174" i="97"/>
  <c r="D2174" i="97"/>
  <c r="C2174" i="97"/>
  <c r="B2174" i="97"/>
  <c r="E2173" i="97"/>
  <c r="D2173" i="97"/>
  <c r="C2173" i="97"/>
  <c r="B2173" i="97"/>
  <c r="E2172" i="97"/>
  <c r="D2172" i="97"/>
  <c r="C2172" i="97"/>
  <c r="B2172" i="97"/>
  <c r="E2171" i="97"/>
  <c r="D2171" i="97"/>
  <c r="C2171" i="97"/>
  <c r="B2171" i="97"/>
  <c r="E2170" i="97"/>
  <c r="D2170" i="97"/>
  <c r="C2170" i="97"/>
  <c r="B2170" i="97"/>
  <c r="E2169" i="97"/>
  <c r="D2169" i="97"/>
  <c r="C2169" i="97"/>
  <c r="B2169" i="97"/>
  <c r="E2168" i="97"/>
  <c r="D2168" i="97"/>
  <c r="C2168" i="97"/>
  <c r="B2168" i="97"/>
  <c r="E2167" i="97"/>
  <c r="D2167" i="97"/>
  <c r="C2167" i="97"/>
  <c r="B2167" i="97"/>
  <c r="E2166" i="97"/>
  <c r="D2166" i="97"/>
  <c r="C2166" i="97"/>
  <c r="B2166" i="97"/>
  <c r="E2165" i="97"/>
  <c r="D2165" i="97"/>
  <c r="C2165" i="97"/>
  <c r="B2165" i="97"/>
  <c r="E2164" i="97"/>
  <c r="D2164" i="97"/>
  <c r="C2164" i="97"/>
  <c r="B2164" i="97"/>
  <c r="E2163" i="97"/>
  <c r="D2163" i="97"/>
  <c r="C2163" i="97"/>
  <c r="B2163" i="97"/>
  <c r="E2162" i="97"/>
  <c r="D2162" i="97"/>
  <c r="C2162" i="97"/>
  <c r="B2162" i="97"/>
  <c r="E2161" i="97"/>
  <c r="D2161" i="97"/>
  <c r="C2161" i="97"/>
  <c r="B2161" i="97"/>
  <c r="E2160" i="97"/>
  <c r="D2160" i="97"/>
  <c r="C2160" i="97"/>
  <c r="C2188" i="97" s="1"/>
  <c r="D2188" i="97" s="1"/>
  <c r="I2188" i="97" s="1"/>
  <c r="B2160" i="97"/>
  <c r="J2144" i="97"/>
  <c r="J2143" i="97"/>
  <c r="J2142" i="97"/>
  <c r="J2141" i="97"/>
  <c r="J2138" i="97"/>
  <c r="K2194" i="97" s="1"/>
  <c r="J2135" i="97"/>
  <c r="D2131" i="97"/>
  <c r="D2130" i="97"/>
  <c r="A2123" i="97"/>
  <c r="O2114" i="97"/>
  <c r="O2110" i="97"/>
  <c r="O2106" i="97"/>
  <c r="O2102" i="97"/>
  <c r="O2098" i="97"/>
  <c r="A2094" i="97"/>
  <c r="O2092" i="97"/>
  <c r="O2091" i="97"/>
  <c r="O2089" i="97"/>
  <c r="O2087" i="97"/>
  <c r="O2086" i="97"/>
  <c r="O2084" i="97"/>
  <c r="O2083" i="97"/>
  <c r="O2082" i="97"/>
  <c r="O2081" i="97"/>
  <c r="O2079" i="97"/>
  <c r="O2077" i="97"/>
  <c r="J2077" i="97"/>
  <c r="O2073" i="97"/>
  <c r="O2072" i="97"/>
  <c r="P2071" i="97"/>
  <c r="O2071" i="97"/>
  <c r="A2065" i="97"/>
  <c r="O2060" i="97"/>
  <c r="Q2060" i="97" s="1"/>
  <c r="B2058" i="97"/>
  <c r="O2053" i="97"/>
  <c r="L2051" i="97"/>
  <c r="D2051" i="97"/>
  <c r="L2049" i="97"/>
  <c r="J2049" i="97"/>
  <c r="A2045" i="97"/>
  <c r="O2043" i="97"/>
  <c r="O2042" i="97"/>
  <c r="O2041" i="97"/>
  <c r="O2040" i="97"/>
  <c r="L2040" i="97" s="1"/>
  <c r="M2034" i="97"/>
  <c r="J2033" i="97"/>
  <c r="J2032" i="97"/>
  <c r="J2031" i="97"/>
  <c r="J2030" i="97"/>
  <c r="J2029" i="97"/>
  <c r="J2028" i="97"/>
  <c r="J2027" i="97"/>
  <c r="J2026" i="97"/>
  <c r="J2025" i="97"/>
  <c r="J2024" i="97"/>
  <c r="J2023" i="97"/>
  <c r="O2020" i="97"/>
  <c r="O2018" i="97"/>
  <c r="O2017" i="97"/>
  <c r="O2016" i="97"/>
  <c r="S2015" i="97"/>
  <c r="R2015" i="97"/>
  <c r="M2038" i="97" s="1"/>
  <c r="O2015" i="97"/>
  <c r="A2009" i="97"/>
  <c r="I2006" i="97"/>
  <c r="O2005" i="97"/>
  <c r="O2000" i="97"/>
  <c r="O1999" i="97"/>
  <c r="O1998" i="97"/>
  <c r="O1997" i="97"/>
  <c r="G1996" i="97"/>
  <c r="O1995" i="97"/>
  <c r="O1994" i="97"/>
  <c r="O1993" i="97"/>
  <c r="O1992" i="97"/>
  <c r="O1991" i="97"/>
  <c r="K1990" i="97"/>
  <c r="G1990" i="97"/>
  <c r="O1989" i="97"/>
  <c r="J1988" i="97"/>
  <c r="O1983" i="97"/>
  <c r="O1981" i="97"/>
  <c r="O1979" i="97"/>
  <c r="O1978" i="97"/>
  <c r="O1977" i="97"/>
  <c r="A1971" i="97"/>
  <c r="Q1969" i="97"/>
  <c r="O1969" i="97"/>
  <c r="O1968" i="97"/>
  <c r="Q1968" i="97" s="1"/>
  <c r="O1967" i="97"/>
  <c r="Q1967" i="97" s="1"/>
  <c r="A1962" i="97"/>
  <c r="M1959" i="97"/>
  <c r="I1959" i="97"/>
  <c r="G1959" i="97"/>
  <c r="M1958" i="97"/>
  <c r="I1958" i="97"/>
  <c r="G1958" i="97"/>
  <c r="O1957" i="97"/>
  <c r="O1956" i="97"/>
  <c r="A1952" i="97"/>
  <c r="Q1950" i="97"/>
  <c r="O1950" i="97"/>
  <c r="Q1949" i="97"/>
  <c r="O1949" i="97"/>
  <c r="M1949" i="97"/>
  <c r="O1942" i="97"/>
  <c r="Q1942" i="97" s="1"/>
  <c r="O1941" i="97"/>
  <c r="Q1941" i="97" s="1"/>
  <c r="K1940" i="97"/>
  <c r="K1939" i="97"/>
  <c r="H1939" i="97"/>
  <c r="A1934" i="97"/>
  <c r="F1930" i="97"/>
  <c r="F1929" i="97"/>
  <c r="N1928" i="97"/>
  <c r="F1928" i="97"/>
  <c r="F1927" i="97"/>
  <c r="O1924" i="97"/>
  <c r="Q1924" i="97" s="1"/>
  <c r="H1924" i="97"/>
  <c r="J1922" i="97"/>
  <c r="J1921" i="97"/>
  <c r="O1920" i="97"/>
  <c r="Q1920" i="97" s="1"/>
  <c r="A1914" i="97"/>
  <c r="O1912" i="97"/>
  <c r="O1911" i="97"/>
  <c r="O1909" i="97"/>
  <c r="O1908" i="97"/>
  <c r="O1907" i="97"/>
  <c r="O1904" i="97"/>
  <c r="L1904" i="97"/>
  <c r="A1899" i="97"/>
  <c r="O1897" i="97"/>
  <c r="O1895" i="97"/>
  <c r="Q1895" i="97" s="1"/>
  <c r="O1894" i="97"/>
  <c r="Q1894" i="97" s="1"/>
  <c r="O1893" i="97"/>
  <c r="Q1893" i="97" s="1"/>
  <c r="V1890" i="97"/>
  <c r="Q1890" i="97"/>
  <c r="M1890" i="97"/>
  <c r="V1889" i="97"/>
  <c r="Q1889" i="97"/>
  <c r="M1889" i="97"/>
  <c r="M1888" i="97"/>
  <c r="M1887" i="97"/>
  <c r="O1885" i="97"/>
  <c r="Q1885" i="97" s="1"/>
  <c r="A1878" i="97"/>
  <c r="K1876" i="97"/>
  <c r="H1876" i="97"/>
  <c r="C1876" i="97"/>
  <c r="K1875" i="97"/>
  <c r="H1875" i="97"/>
  <c r="C1875" i="97"/>
  <c r="K1874" i="97"/>
  <c r="H1874" i="97"/>
  <c r="C1874" i="97"/>
  <c r="K1873" i="97"/>
  <c r="H1873" i="97"/>
  <c r="C1873" i="97"/>
  <c r="K1872" i="97"/>
  <c r="H1872" i="97"/>
  <c r="C1872" i="97"/>
  <c r="K1871" i="97"/>
  <c r="H1871" i="97"/>
  <c r="C1871" i="97"/>
  <c r="O1866" i="97"/>
  <c r="Q1866" i="97" s="1"/>
  <c r="H1866" i="97"/>
  <c r="A1861" i="97"/>
  <c r="O1857" i="97"/>
  <c r="Q1857" i="97" s="1"/>
  <c r="I1856" i="97"/>
  <c r="Q1855" i="97"/>
  <c r="O1855" i="97"/>
  <c r="O1854" i="97"/>
  <c r="Q1854" i="97" s="1"/>
  <c r="I1854" i="97"/>
  <c r="Q1853" i="97"/>
  <c r="O1853" i="97"/>
  <c r="O1852" i="97"/>
  <c r="I1852" i="97"/>
  <c r="O1851" i="97"/>
  <c r="L1850" i="97"/>
  <c r="I1850" i="97"/>
  <c r="G1848" i="97"/>
  <c r="O1846" i="97"/>
  <c r="M1847" i="97" s="1"/>
  <c r="O1845" i="97"/>
  <c r="O1844" i="97"/>
  <c r="O1839" i="97"/>
  <c r="J1839" i="97"/>
  <c r="F1839" i="97"/>
  <c r="J1838" i="97"/>
  <c r="F1838" i="97"/>
  <c r="O1837" i="97"/>
  <c r="J1837" i="97"/>
  <c r="F1837" i="97"/>
  <c r="J1836" i="97"/>
  <c r="F1836" i="97"/>
  <c r="O1833" i="97"/>
  <c r="O1832" i="97"/>
  <c r="O1831" i="97"/>
  <c r="O1830" i="97"/>
  <c r="O1829" i="97"/>
  <c r="J1827" i="97"/>
  <c r="A1823" i="97"/>
  <c r="O1821" i="97"/>
  <c r="O1820" i="97"/>
  <c r="O1819" i="97"/>
  <c r="O1813" i="97"/>
  <c r="J1812" i="97"/>
  <c r="H1812" i="97"/>
  <c r="O1809" i="97"/>
  <c r="Q1809" i="97" s="1"/>
  <c r="O1808" i="97"/>
  <c r="J1808" i="97"/>
  <c r="I1805" i="97"/>
  <c r="O1789" i="97"/>
  <c r="P1786" i="97" s="1"/>
  <c r="J1789" i="97"/>
  <c r="P1782" i="97" s="1"/>
  <c r="F1789" i="97"/>
  <c r="K1777" i="97"/>
  <c r="J1777" i="97"/>
  <c r="I1777" i="97"/>
  <c r="H1777" i="97"/>
  <c r="G1777" i="97"/>
  <c r="M1775" i="97"/>
  <c r="M1772" i="97"/>
  <c r="P1758" i="97"/>
  <c r="E1740" i="97"/>
  <c r="Q1737" i="97"/>
  <c r="P1735" i="97"/>
  <c r="P1733" i="97" s="1"/>
  <c r="O1733" i="97"/>
  <c r="O1727" i="97"/>
  <c r="B1725" i="97"/>
  <c r="A1720" i="97"/>
  <c r="A1713" i="97"/>
  <c r="A1707" i="97"/>
  <c r="P1705" i="97"/>
  <c r="P1704" i="97"/>
  <c r="P1703" i="97"/>
  <c r="P1702" i="97"/>
  <c r="P1701" i="97"/>
  <c r="P1700" i="97"/>
  <c r="P1699" i="97"/>
  <c r="P1698" i="97"/>
  <c r="P1697" i="97"/>
  <c r="P1696" i="97"/>
  <c r="A1690" i="97"/>
  <c r="P1688" i="97"/>
  <c r="B1684" i="97"/>
  <c r="M1682" i="97"/>
  <c r="G1682" i="97"/>
  <c r="G1681" i="97"/>
  <c r="P1680" i="97"/>
  <c r="N1677" i="97"/>
  <c r="P1676" i="97"/>
  <c r="K1676" i="97"/>
  <c r="J1676" i="97"/>
  <c r="N1676" i="97" s="1"/>
  <c r="I1676" i="97"/>
  <c r="AG1674" i="97"/>
  <c r="AF1674" i="97" s="1"/>
  <c r="AE1674" i="97" s="1"/>
  <c r="AD1674" i="97" s="1"/>
  <c r="AC1674" i="97" s="1"/>
  <c r="AB1674" i="97" s="1"/>
  <c r="AA1674" i="97" s="1"/>
  <c r="Z1674" i="97" s="1"/>
  <c r="N1674" i="97"/>
  <c r="P1673" i="97"/>
  <c r="K1673" i="97"/>
  <c r="J1673" i="97"/>
  <c r="I1673" i="97"/>
  <c r="AG1672" i="97"/>
  <c r="AF1672" i="97" s="1"/>
  <c r="AE1672" i="97" s="1"/>
  <c r="AD1672" i="97" s="1"/>
  <c r="AC1672" i="97" s="1"/>
  <c r="AB1672" i="97" s="1"/>
  <c r="AA1672" i="97" s="1"/>
  <c r="Z1672" i="97" s="1"/>
  <c r="N1671" i="97"/>
  <c r="P1670" i="97"/>
  <c r="K1670" i="97"/>
  <c r="J1670" i="97"/>
  <c r="N1670" i="97" s="1"/>
  <c r="I1670" i="97"/>
  <c r="P1666" i="97"/>
  <c r="J1666" i="97"/>
  <c r="P1665" i="97"/>
  <c r="J1665" i="97"/>
  <c r="P1664" i="97"/>
  <c r="P1663" i="97"/>
  <c r="P1662" i="97"/>
  <c r="P1661" i="97"/>
  <c r="P1660" i="97"/>
  <c r="P1659" i="97"/>
  <c r="P1657" i="97"/>
  <c r="A1652" i="97"/>
  <c r="P1650" i="97"/>
  <c r="H1650" i="97"/>
  <c r="P1649" i="97"/>
  <c r="P1648" i="97"/>
  <c r="P1647" i="97"/>
  <c r="P1646" i="97"/>
  <c r="A1641" i="97"/>
  <c r="P1639" i="97"/>
  <c r="M1639" i="97"/>
  <c r="P1638" i="97"/>
  <c r="M1637" i="97"/>
  <c r="E1637" i="97"/>
  <c r="N1636" i="97"/>
  <c r="A1631" i="97"/>
  <c r="P1629" i="97"/>
  <c r="P1628" i="97"/>
  <c r="P1627" i="97"/>
  <c r="P1626" i="97"/>
  <c r="P1625" i="97"/>
  <c r="P1624" i="97"/>
  <c r="P1623" i="97"/>
  <c r="P1622" i="97"/>
  <c r="I1621" i="97"/>
  <c r="I1620" i="97"/>
  <c r="N1619" i="97"/>
  <c r="A1615" i="97"/>
  <c r="M1613" i="97"/>
  <c r="P1612" i="97"/>
  <c r="P1610" i="97"/>
  <c r="N1609" i="97"/>
  <c r="A1605" i="97"/>
  <c r="O1602" i="97"/>
  <c r="P1601" i="97"/>
  <c r="P1600" i="97"/>
  <c r="P1599" i="97"/>
  <c r="P1598" i="97"/>
  <c r="A1594" i="97"/>
  <c r="P1591" i="97"/>
  <c r="P1590" i="97"/>
  <c r="C1590" i="97"/>
  <c r="P1589" i="97"/>
  <c r="C1589" i="97"/>
  <c r="P1586" i="97"/>
  <c r="G1586" i="97"/>
  <c r="P1585" i="97"/>
  <c r="G1585" i="97"/>
  <c r="P1583" i="97"/>
  <c r="K1581" i="97"/>
  <c r="P1580" i="97"/>
  <c r="P1579" i="97"/>
  <c r="A1575" i="97"/>
  <c r="P1573" i="97"/>
  <c r="P1572" i="97"/>
  <c r="P1571" i="97"/>
  <c r="P1570" i="97"/>
  <c r="L1569" i="97"/>
  <c r="P1568" i="97"/>
  <c r="AG1566" i="97"/>
  <c r="AF1566" i="97"/>
  <c r="AE1566" i="97" s="1"/>
  <c r="AD1566" i="97" s="1"/>
  <c r="AC1566" i="97" s="1"/>
  <c r="AB1566" i="97" s="1"/>
  <c r="AA1566" i="97" s="1"/>
  <c r="Z1566" i="97" s="1"/>
  <c r="P1564" i="97"/>
  <c r="N1564" i="97"/>
  <c r="K1564" i="97"/>
  <c r="AG1563" i="97"/>
  <c r="AF1563" i="97" s="1"/>
  <c r="AE1563" i="97" s="1"/>
  <c r="AD1563" i="97" s="1"/>
  <c r="AC1563" i="97" s="1"/>
  <c r="AB1563" i="97" s="1"/>
  <c r="AA1563" i="97" s="1"/>
  <c r="Z1563" i="97" s="1"/>
  <c r="P1563" i="97"/>
  <c r="P1562" i="97"/>
  <c r="N1562" i="97"/>
  <c r="K1562" i="97"/>
  <c r="AG1561" i="97"/>
  <c r="AF1561" i="97" s="1"/>
  <c r="AE1561" i="97" s="1"/>
  <c r="AD1561" i="97" s="1"/>
  <c r="AC1561" i="97" s="1"/>
  <c r="AB1561" i="97" s="1"/>
  <c r="AA1561" i="97"/>
  <c r="Z1561" i="97" s="1"/>
  <c r="P1561" i="97"/>
  <c r="N1561" i="97"/>
  <c r="K1561" i="97"/>
  <c r="M1562" i="97" s="1"/>
  <c r="L1562" i="97" s="1"/>
  <c r="P1557" i="97"/>
  <c r="P1556" i="97"/>
  <c r="P1555" i="97"/>
  <c r="P1553" i="97"/>
  <c r="A1548" i="97"/>
  <c r="P1546" i="97"/>
  <c r="K1544" i="97"/>
  <c r="P1543" i="97"/>
  <c r="P1542" i="97"/>
  <c r="P1540" i="97"/>
  <c r="A1535" i="97"/>
  <c r="P1533" i="97"/>
  <c r="P1532" i="97"/>
  <c r="P1531" i="97"/>
  <c r="P1530" i="97"/>
  <c r="P1529" i="97"/>
  <c r="P1528" i="97"/>
  <c r="A1523" i="97"/>
  <c r="P1521" i="97"/>
  <c r="P1520" i="97"/>
  <c r="P1519" i="97"/>
  <c r="P1518" i="97"/>
  <c r="P1517" i="97"/>
  <c r="P1516" i="97"/>
  <c r="P1515" i="97"/>
  <c r="P1514" i="97"/>
  <c r="P1513" i="97"/>
  <c r="K1512" i="97"/>
  <c r="K1511" i="97"/>
  <c r="P1510" i="97"/>
  <c r="K1509" i="97"/>
  <c r="P1508" i="97"/>
  <c r="A1503" i="97"/>
  <c r="P1501" i="97"/>
  <c r="P1500" i="97"/>
  <c r="P1499" i="97"/>
  <c r="Q1498" i="97"/>
  <c r="K1498" i="97"/>
  <c r="J1498" i="97"/>
  <c r="B1498" i="97"/>
  <c r="Q1497" i="97"/>
  <c r="K1497" i="97"/>
  <c r="J1497" i="97"/>
  <c r="B1497" i="97"/>
  <c r="Q1496" i="97"/>
  <c r="K1496" i="97"/>
  <c r="J1496" i="97"/>
  <c r="B1496" i="97"/>
  <c r="Q1495" i="97"/>
  <c r="K1495" i="97"/>
  <c r="J1495" i="97"/>
  <c r="B1495" i="97"/>
  <c r="Q1494" i="97"/>
  <c r="K1494" i="97"/>
  <c r="J1494" i="97"/>
  <c r="B1494" i="97"/>
  <c r="Q1493" i="97"/>
  <c r="K1493" i="97"/>
  <c r="J1493" i="97"/>
  <c r="B1493" i="97"/>
  <c r="Q1492" i="97"/>
  <c r="K1492" i="97"/>
  <c r="J1492" i="97"/>
  <c r="B1492" i="97"/>
  <c r="Q1491" i="97"/>
  <c r="K1491" i="97"/>
  <c r="J1491" i="97"/>
  <c r="B1491" i="97"/>
  <c r="L1488" i="97"/>
  <c r="A1485" i="97"/>
  <c r="P1483" i="97"/>
  <c r="P1482" i="97"/>
  <c r="P1481" i="97"/>
  <c r="M1481" i="97"/>
  <c r="P1480" i="97"/>
  <c r="P1479" i="97"/>
  <c r="P1478" i="97"/>
  <c r="P1477" i="97"/>
  <c r="P1476" i="97"/>
  <c r="P1475" i="97"/>
  <c r="P1474" i="97"/>
  <c r="I1473" i="97"/>
  <c r="C1473" i="97"/>
  <c r="I1472" i="97"/>
  <c r="C1472" i="97"/>
  <c r="I1471" i="97"/>
  <c r="C1471" i="97"/>
  <c r="I1470" i="97"/>
  <c r="C1470" i="97"/>
  <c r="P1467" i="97"/>
  <c r="K1466" i="97"/>
  <c r="M1465" i="97"/>
  <c r="K1465" i="97"/>
  <c r="K1464" i="97"/>
  <c r="P1463" i="97"/>
  <c r="P1462" i="97"/>
  <c r="A1457" i="97"/>
  <c r="P1455" i="97"/>
  <c r="P1454" i="97"/>
  <c r="P1453" i="97"/>
  <c r="J1453" i="97"/>
  <c r="P1452" i="97"/>
  <c r="J1452" i="97"/>
  <c r="P1451" i="97"/>
  <c r="A1446" i="97"/>
  <c r="P1445" i="97"/>
  <c r="J1445" i="97"/>
  <c r="P1444" i="97"/>
  <c r="J1444" i="97"/>
  <c r="P1442" i="97"/>
  <c r="A1437" i="97"/>
  <c r="P1435" i="97"/>
  <c r="P1434" i="97"/>
  <c r="P1433" i="97"/>
  <c r="P1432" i="97"/>
  <c r="P1431" i="97"/>
  <c r="P1430" i="97"/>
  <c r="P1429" i="97"/>
  <c r="P1428" i="97"/>
  <c r="P1427" i="97"/>
  <c r="P1426" i="97"/>
  <c r="P1425" i="97"/>
  <c r="P1424" i="97"/>
  <c r="A1419" i="97"/>
  <c r="P1417" i="97"/>
  <c r="P1416" i="97"/>
  <c r="P1415" i="97"/>
  <c r="P1414" i="97"/>
  <c r="A1409" i="97"/>
  <c r="P1407" i="97"/>
  <c r="K1406" i="97"/>
  <c r="M1405" i="97"/>
  <c r="F1405" i="97"/>
  <c r="P1404" i="97"/>
  <c r="M1404" i="97"/>
  <c r="P1403" i="97"/>
  <c r="M1403" i="97"/>
  <c r="A1397" i="97"/>
  <c r="N1395" i="97"/>
  <c r="P1393" i="97"/>
  <c r="P1392" i="97"/>
  <c r="P1391" i="97"/>
  <c r="P1390" i="97"/>
  <c r="C1388" i="97"/>
  <c r="K1386" i="97"/>
  <c r="F1386" i="97"/>
  <c r="P1385" i="97"/>
  <c r="F1385" i="97"/>
  <c r="P1384" i="97"/>
  <c r="K1384" i="97"/>
  <c r="F1384" i="97"/>
  <c r="P1383" i="97"/>
  <c r="K1383" i="97"/>
  <c r="F1383" i="97"/>
  <c r="P1382" i="97"/>
  <c r="K1382" i="97"/>
  <c r="F1382" i="97"/>
  <c r="P1380" i="97"/>
  <c r="P1379" i="97"/>
  <c r="L1378" i="97"/>
  <c r="P1377" i="97"/>
  <c r="P1376" i="97"/>
  <c r="P1375" i="97"/>
  <c r="L1374" i="97"/>
  <c r="A1369" i="97"/>
  <c r="P1367" i="97"/>
  <c r="P1366" i="97"/>
  <c r="P1365" i="97"/>
  <c r="P1364" i="97"/>
  <c r="P1363" i="97"/>
  <c r="P1362" i="97"/>
  <c r="P1361" i="97"/>
  <c r="P1360" i="97"/>
  <c r="P1359" i="97"/>
  <c r="P1358" i="97"/>
  <c r="M1357" i="97"/>
  <c r="P1356" i="97"/>
  <c r="A1351" i="97"/>
  <c r="P1349" i="97"/>
  <c r="P1348" i="97"/>
  <c r="P1347" i="97"/>
  <c r="P1346" i="97"/>
  <c r="P1345" i="97"/>
  <c r="O1344" i="97"/>
  <c r="N1344" i="97"/>
  <c r="J1344" i="97"/>
  <c r="I1344" i="97"/>
  <c r="E1344" i="97"/>
  <c r="D1344" i="97"/>
  <c r="O1343" i="97"/>
  <c r="N1343" i="97"/>
  <c r="J1343" i="97"/>
  <c r="I1343" i="97"/>
  <c r="E1343" i="97"/>
  <c r="D1343" i="97"/>
  <c r="P1340" i="97"/>
  <c r="K1340" i="97"/>
  <c r="M1339" i="97"/>
  <c r="M1338" i="97"/>
  <c r="M1337" i="97"/>
  <c r="M1335" i="97"/>
  <c r="K1335" i="97"/>
  <c r="A1333" i="97"/>
  <c r="P1330" i="97"/>
  <c r="L1329" i="97"/>
  <c r="P1328" i="97"/>
  <c r="P1327" i="97"/>
  <c r="P1326" i="97"/>
  <c r="P1325" i="97"/>
  <c r="P1323" i="97"/>
  <c r="P1321" i="97"/>
  <c r="A1317" i="97"/>
  <c r="J1315" i="97"/>
  <c r="G1315" i="97"/>
  <c r="G1314" i="97"/>
  <c r="J1314" i="97" s="1"/>
  <c r="A1311" i="97"/>
  <c r="Q1298" i="97"/>
  <c r="P1298" i="97"/>
  <c r="Q1295" i="97"/>
  <c r="P1295" i="97"/>
  <c r="Q1278" i="97"/>
  <c r="A1272" i="97"/>
  <c r="A1243" i="97"/>
  <c r="H1243" i="97" s="1"/>
  <c r="R1241" i="97"/>
  <c r="A1241" i="97"/>
  <c r="A1236" i="97"/>
  <c r="F1220" i="97"/>
  <c r="E1220" i="97"/>
  <c r="D1220" i="97"/>
  <c r="C1220" i="97"/>
  <c r="B1220" i="97"/>
  <c r="K1190" i="97"/>
  <c r="J1190" i="97"/>
  <c r="I1190" i="97"/>
  <c r="H1190" i="97"/>
  <c r="G1190" i="97"/>
  <c r="F1190" i="97"/>
  <c r="E1190" i="97"/>
  <c r="D1190" i="97"/>
  <c r="C1190" i="97"/>
  <c r="B1190" i="97"/>
  <c r="A1165" i="97"/>
  <c r="A1196" i="97" s="1"/>
  <c r="A1226" i="97" s="1"/>
  <c r="K1160" i="97"/>
  <c r="J1160" i="97"/>
  <c r="I1160" i="97"/>
  <c r="H1160" i="97"/>
  <c r="G1160" i="97"/>
  <c r="K1158" i="97"/>
  <c r="J1158" i="97"/>
  <c r="I1158" i="97"/>
  <c r="H1158" i="97"/>
  <c r="G1158" i="97"/>
  <c r="F1158" i="97"/>
  <c r="E1158" i="97"/>
  <c r="D1158" i="97"/>
  <c r="C1158" i="97"/>
  <c r="B1158" i="97"/>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28" i="97"/>
  <c r="B1128" i="97"/>
  <c r="K1126" i="97"/>
  <c r="J1126" i="97"/>
  <c r="I1126" i="97"/>
  <c r="H1126" i="97"/>
  <c r="G1126" i="97"/>
  <c r="F1126" i="97"/>
  <c r="E1126" i="97"/>
  <c r="D1126" i="97"/>
  <c r="C1126" i="97"/>
  <c r="B1126" i="97"/>
  <c r="C1110" i="97"/>
  <c r="D1110" i="97" s="1"/>
  <c r="E1110" i="97" s="1"/>
  <c r="F1110" i="97" s="1"/>
  <c r="G1110" i="97" s="1"/>
  <c r="H1110" i="97" s="1"/>
  <c r="I1110" i="97" s="1"/>
  <c r="J1110" i="97" s="1"/>
  <c r="K1110" i="97" s="1"/>
  <c r="B1142" i="97" s="1"/>
  <c r="C1142" i="97" s="1"/>
  <c r="D1142" i="97" s="1"/>
  <c r="E1142" i="97" s="1"/>
  <c r="F1142" i="97" s="1"/>
  <c r="G1142" i="97" s="1"/>
  <c r="H1142" i="97" s="1"/>
  <c r="I1142" i="97" s="1"/>
  <c r="J1142" i="97" s="1"/>
  <c r="K1142" i="97" s="1"/>
  <c r="B1174" i="97" s="1"/>
  <c r="C1174" i="97" s="1"/>
  <c r="D1174" i="97" s="1"/>
  <c r="E1174" i="97" s="1"/>
  <c r="F1174" i="97" s="1"/>
  <c r="G1174" i="97" s="1"/>
  <c r="H1174" i="97" s="1"/>
  <c r="I1174" i="97" s="1"/>
  <c r="J1174" i="97" s="1"/>
  <c r="K1174" i="97" s="1"/>
  <c r="B1204" i="97" s="1"/>
  <c r="C1204" i="97" s="1"/>
  <c r="D1204" i="97" s="1"/>
  <c r="E1204" i="97" s="1"/>
  <c r="F1204" i="97" s="1"/>
  <c r="N1108" i="97"/>
  <c r="K1106" i="97"/>
  <c r="G1106" i="97"/>
  <c r="K1105" i="97"/>
  <c r="G1105" i="97"/>
  <c r="B1105" i="97"/>
  <c r="C1105" i="97" s="1"/>
  <c r="K1104" i="97"/>
  <c r="G1103" i="97"/>
  <c r="K1102" i="97"/>
  <c r="G1102" i="97"/>
  <c r="N1100" i="97"/>
  <c r="C1100" i="97"/>
  <c r="A1098" i="97"/>
  <c r="N1098" i="97" s="1"/>
  <c r="A1093" i="97"/>
  <c r="Q1090" i="97"/>
  <c r="N1090" i="97"/>
  <c r="L1090" i="97"/>
  <c r="J1090" i="97"/>
  <c r="N1088" i="97"/>
  <c r="K1088" i="97"/>
  <c r="L1083" i="97"/>
  <c r="I1083" i="97"/>
  <c r="F1083" i="97"/>
  <c r="B1083" i="97"/>
  <c r="L1082" i="97"/>
  <c r="F1082" i="97"/>
  <c r="L1081" i="97"/>
  <c r="F1081" i="97"/>
  <c r="F1080" i="97"/>
  <c r="F1079" i="97"/>
  <c r="F1078" i="97"/>
  <c r="F1077" i="97"/>
  <c r="L1076" i="97"/>
  <c r="I1076" i="97"/>
  <c r="F1076" i="97"/>
  <c r="L1075" i="97"/>
  <c r="L1074" i="97"/>
  <c r="L1073" i="97"/>
  <c r="L1072" i="97"/>
  <c r="F1072" i="97"/>
  <c r="B1072" i="97"/>
  <c r="F1071" i="97"/>
  <c r="F1070" i="97"/>
  <c r="F1069" i="97"/>
  <c r="F1068" i="97"/>
  <c r="L1067" i="97"/>
  <c r="I1067" i="97"/>
  <c r="F1067" i="97"/>
  <c r="L1066" i="97"/>
  <c r="L1065" i="97"/>
  <c r="L1064" i="97"/>
  <c r="F1063" i="97"/>
  <c r="B1063" i="97"/>
  <c r="F1062" i="97"/>
  <c r="F1061" i="97"/>
  <c r="F1060" i="97"/>
  <c r="L1059" i="97"/>
  <c r="F1059" i="97"/>
  <c r="L1058" i="97"/>
  <c r="F1058" i="97"/>
  <c r="S1055" i="97"/>
  <c r="L1052" i="97"/>
  <c r="K1052" i="97"/>
  <c r="J1052" i="97"/>
  <c r="J1053" i="97" s="1"/>
  <c r="I1052" i="97"/>
  <c r="H1052" i="97"/>
  <c r="C1052" i="97"/>
  <c r="L1051" i="97"/>
  <c r="L1053" i="97" s="1"/>
  <c r="K1051" i="97"/>
  <c r="J1051" i="97"/>
  <c r="I1051" i="97"/>
  <c r="H1051" i="97"/>
  <c r="H1053" i="97" s="1"/>
  <c r="S1050" i="97"/>
  <c r="L1048" i="97"/>
  <c r="K1048" i="97"/>
  <c r="J1048" i="97"/>
  <c r="I1048" i="97"/>
  <c r="H1048" i="97"/>
  <c r="C1048" i="97"/>
  <c r="L1047" i="97"/>
  <c r="K1047" i="97"/>
  <c r="J1047" i="97"/>
  <c r="I1047" i="97"/>
  <c r="H1047" i="97"/>
  <c r="T1046" i="97"/>
  <c r="Q1043" i="97"/>
  <c r="P1043" i="97"/>
  <c r="O1043" i="97"/>
  <c r="O1044" i="97" s="1"/>
  <c r="N1043" i="97"/>
  <c r="M1043" i="97"/>
  <c r="L1043" i="97"/>
  <c r="K1043" i="97"/>
  <c r="K1044" i="97" s="1"/>
  <c r="J1043" i="97"/>
  <c r="I1043" i="97"/>
  <c r="H1043" i="97"/>
  <c r="C1043" i="97"/>
  <c r="Q1042" i="97"/>
  <c r="P1042" i="97"/>
  <c r="P1044" i="97" s="1"/>
  <c r="O1042" i="97"/>
  <c r="N1042" i="97"/>
  <c r="M1042" i="97"/>
  <c r="M1044" i="97" s="1"/>
  <c r="L1042" i="97"/>
  <c r="L1044" i="97" s="1"/>
  <c r="K1042" i="97"/>
  <c r="J1042" i="97"/>
  <c r="I1042" i="97"/>
  <c r="H1042" i="97"/>
  <c r="H1044" i="97" s="1"/>
  <c r="S1041" i="97"/>
  <c r="P1040" i="97"/>
  <c r="Q1039" i="97"/>
  <c r="P1039" i="97"/>
  <c r="O1039" i="97"/>
  <c r="O1040" i="97" s="1"/>
  <c r="N1039" i="97"/>
  <c r="M1039" i="97"/>
  <c r="L1039" i="97"/>
  <c r="K1039" i="97"/>
  <c r="K1040" i="97" s="1"/>
  <c r="J1039" i="97"/>
  <c r="I1039" i="97"/>
  <c r="H1039" i="97"/>
  <c r="C1039" i="97"/>
  <c r="Q1038" i="97"/>
  <c r="P1038" i="97"/>
  <c r="O1038" i="97"/>
  <c r="N1038" i="97"/>
  <c r="M1038" i="97"/>
  <c r="L1038" i="97"/>
  <c r="L1040" i="97" s="1"/>
  <c r="K1038" i="97"/>
  <c r="J1038" i="97"/>
  <c r="I1038" i="97"/>
  <c r="H1038" i="97"/>
  <c r="H1040" i="97" s="1"/>
  <c r="T1037" i="97"/>
  <c r="H1035" i="97"/>
  <c r="Q1034" i="97"/>
  <c r="P1034" i="97"/>
  <c r="O1034" i="97"/>
  <c r="N1034" i="97"/>
  <c r="M1034" i="97"/>
  <c r="L1034" i="97"/>
  <c r="K1034" i="97"/>
  <c r="J1034" i="97"/>
  <c r="I1034" i="97"/>
  <c r="H1034" i="97"/>
  <c r="C1034" i="97"/>
  <c r="Q1033" i="97"/>
  <c r="Q1035" i="97" s="1"/>
  <c r="P1033" i="97"/>
  <c r="P1035" i="97" s="1"/>
  <c r="O1033" i="97"/>
  <c r="N1033" i="97"/>
  <c r="M1033" i="97"/>
  <c r="M1035" i="97" s="1"/>
  <c r="L1033" i="97"/>
  <c r="L1035" i="97" s="1"/>
  <c r="K1033" i="97"/>
  <c r="J1033" i="97"/>
  <c r="I1033" i="97"/>
  <c r="I1035" i="97" s="1"/>
  <c r="H1033" i="97"/>
  <c r="S1032" i="97"/>
  <c r="Q1030" i="97"/>
  <c r="P1030" i="97"/>
  <c r="P1031" i="97" s="1"/>
  <c r="O1030" i="97"/>
  <c r="N1030" i="97"/>
  <c r="M1030" i="97"/>
  <c r="L1030" i="97"/>
  <c r="K1030" i="97"/>
  <c r="J1030" i="97"/>
  <c r="I1030" i="97"/>
  <c r="H1030" i="97"/>
  <c r="C1030" i="97"/>
  <c r="Q1029" i="97"/>
  <c r="P1029" i="97"/>
  <c r="O1029" i="97"/>
  <c r="O1031" i="97" s="1"/>
  <c r="N1029" i="97"/>
  <c r="N1031" i="97" s="1"/>
  <c r="M1029" i="97"/>
  <c r="M1031" i="97" s="1"/>
  <c r="L1029" i="97"/>
  <c r="K1029" i="97"/>
  <c r="J1029" i="97"/>
  <c r="J1031" i="97" s="1"/>
  <c r="I1029" i="97"/>
  <c r="I1031" i="97" s="1"/>
  <c r="H1029" i="97"/>
  <c r="T1028" i="97"/>
  <c r="Q1025" i="97"/>
  <c r="P1025" i="97"/>
  <c r="O1025" i="97"/>
  <c r="N1025" i="97"/>
  <c r="M1025" i="97"/>
  <c r="L1025" i="97"/>
  <c r="K1025" i="97"/>
  <c r="J1025" i="97"/>
  <c r="I1025" i="97"/>
  <c r="H1025" i="97"/>
  <c r="C1025" i="97"/>
  <c r="Q1024" i="97"/>
  <c r="P1024" i="97"/>
  <c r="O1024" i="97"/>
  <c r="N1024" i="97"/>
  <c r="M1024" i="97"/>
  <c r="M1026" i="97" s="1"/>
  <c r="L1024" i="97"/>
  <c r="K1024" i="97"/>
  <c r="J1024" i="97"/>
  <c r="I1024" i="97"/>
  <c r="H1024" i="97"/>
  <c r="S1023" i="97"/>
  <c r="Q1021" i="97"/>
  <c r="P1021" i="97"/>
  <c r="O1021" i="97"/>
  <c r="N1021" i="97"/>
  <c r="M1021" i="97"/>
  <c r="L1021" i="97"/>
  <c r="K1021" i="97"/>
  <c r="J1021" i="97"/>
  <c r="I1021" i="97"/>
  <c r="H1021" i="97"/>
  <c r="C1021" i="97"/>
  <c r="Q1020" i="97"/>
  <c r="P1020" i="97"/>
  <c r="O1020" i="97"/>
  <c r="N1020" i="97"/>
  <c r="N1022" i="97" s="1"/>
  <c r="M1020" i="97"/>
  <c r="L1020" i="97"/>
  <c r="K1020" i="97"/>
  <c r="J1020" i="97"/>
  <c r="J1022" i="97" s="1"/>
  <c r="I1020" i="97"/>
  <c r="H1020" i="97"/>
  <c r="S1019" i="97"/>
  <c r="S1018" i="97"/>
  <c r="S1016" i="97"/>
  <c r="S996" i="97"/>
  <c r="S986" i="97"/>
  <c r="S985" i="97"/>
  <c r="L985" i="97"/>
  <c r="S966" i="97"/>
  <c r="O963" i="97"/>
  <c r="N963" i="97"/>
  <c r="M963" i="97"/>
  <c r="L963" i="97"/>
  <c r="K963" i="97"/>
  <c r="O962" i="97"/>
  <c r="N962" i="97"/>
  <c r="M962" i="97"/>
  <c r="L962" i="97"/>
  <c r="K962" i="97"/>
  <c r="S952" i="97"/>
  <c r="S943" i="97"/>
  <c r="S942" i="97"/>
  <c r="L942" i="97"/>
  <c r="S932" i="97"/>
  <c r="S909" i="97"/>
  <c r="S893" i="97"/>
  <c r="L893" i="97"/>
  <c r="MU889" i="97"/>
  <c r="Q888" i="97"/>
  <c r="P888" i="97"/>
  <c r="O888" i="97"/>
  <c r="N888" i="97"/>
  <c r="K888" i="97"/>
  <c r="I888" i="97"/>
  <c r="H888" i="97"/>
  <c r="G888" i="97"/>
  <c r="F888" i="97"/>
  <c r="E888" i="97"/>
  <c r="D888" i="97"/>
  <c r="C888" i="97"/>
  <c r="B888" i="97"/>
  <c r="JQ887" i="97"/>
  <c r="HC887" i="97"/>
  <c r="EG887" i="97"/>
  <c r="BV887" i="97"/>
  <c r="Q887" i="97"/>
  <c r="P887" i="97"/>
  <c r="O887" i="97"/>
  <c r="N887" i="97"/>
  <c r="K887" i="97"/>
  <c r="I887" i="97"/>
  <c r="H887" i="97"/>
  <c r="G887" i="97"/>
  <c r="F887" i="97"/>
  <c r="E887" i="97"/>
  <c r="D887" i="97"/>
  <c r="C887" i="97"/>
  <c r="B887" i="97"/>
  <c r="LG887" i="97" s="1"/>
  <c r="Q886" i="97"/>
  <c r="KT886" i="97" s="1"/>
  <c r="P886" i="97"/>
  <c r="O886" i="97"/>
  <c r="N886" i="97"/>
  <c r="K886" i="97"/>
  <c r="I886" i="97"/>
  <c r="H886" i="97"/>
  <c r="G886" i="97"/>
  <c r="F886" i="97"/>
  <c r="E886" i="97"/>
  <c r="D886" i="97"/>
  <c r="C886" i="97"/>
  <c r="B886" i="97"/>
  <c r="HY886" i="97" s="1"/>
  <c r="DI885" i="97"/>
  <c r="Q885" i="97"/>
  <c r="P885" i="97"/>
  <c r="O885" i="97"/>
  <c r="KB885" i="97" s="1"/>
  <c r="N885" i="97"/>
  <c r="K885" i="97"/>
  <c r="I885" i="97"/>
  <c r="H885" i="97"/>
  <c r="G885" i="97"/>
  <c r="F885" i="97"/>
  <c r="E885" i="97"/>
  <c r="D885" i="97"/>
  <c r="C885" i="97"/>
  <c r="KJ885" i="97" s="1"/>
  <c r="B885" i="97"/>
  <c r="LE884" i="97"/>
  <c r="DU884" i="97"/>
  <c r="Q884" i="97"/>
  <c r="KN884" i="97" s="1"/>
  <c r="P884" i="97"/>
  <c r="O884" i="97"/>
  <c r="N884" i="97"/>
  <c r="K884" i="97"/>
  <c r="I884" i="97"/>
  <c r="H884" i="97"/>
  <c r="G884" i="97"/>
  <c r="F884" i="97"/>
  <c r="E884" i="97"/>
  <c r="D884" i="97"/>
  <c r="C884" i="97"/>
  <c r="FX884" i="97" s="1"/>
  <c r="B884" i="97"/>
  <c r="Q883" i="97"/>
  <c r="P883" i="97"/>
  <c r="O883" i="97"/>
  <c r="N883" i="97"/>
  <c r="K883" i="97"/>
  <c r="I883" i="97"/>
  <c r="H883" i="97"/>
  <c r="G883" i="97"/>
  <c r="F883" i="97"/>
  <c r="E883" i="97"/>
  <c r="D883" i="97"/>
  <c r="C883" i="97"/>
  <c r="B883" i="97"/>
  <c r="LH883" i="97" s="1"/>
  <c r="Q882" i="97"/>
  <c r="P882" i="97"/>
  <c r="O882" i="97"/>
  <c r="N882" i="97"/>
  <c r="K882" i="97"/>
  <c r="I882" i="97"/>
  <c r="H882" i="97"/>
  <c r="G882" i="97"/>
  <c r="F882" i="97"/>
  <c r="E882" i="97"/>
  <c r="D882" i="97"/>
  <c r="C882" i="97"/>
  <c r="JA882" i="97" s="1"/>
  <c r="B882" i="97"/>
  <c r="GK881" i="97"/>
  <c r="Q881" i="97"/>
  <c r="P881" i="97"/>
  <c r="O881" i="97"/>
  <c r="N881" i="97"/>
  <c r="K881" i="97"/>
  <c r="I881" i="97"/>
  <c r="H881" i="97"/>
  <c r="G881" i="97"/>
  <c r="F881" i="97"/>
  <c r="E881" i="97"/>
  <c r="D881" i="97"/>
  <c r="C881" i="97"/>
  <c r="B881" i="97"/>
  <c r="CI880" i="97"/>
  <c r="Q880" i="97"/>
  <c r="P880" i="97"/>
  <c r="O880" i="97"/>
  <c r="N880" i="97"/>
  <c r="K880" i="97"/>
  <c r="I880" i="97"/>
  <c r="H880" i="97"/>
  <c r="G880" i="97"/>
  <c r="F880" i="97"/>
  <c r="E880" i="97"/>
  <c r="D880" i="97"/>
  <c r="C880" i="97"/>
  <c r="CA880" i="97" s="1"/>
  <c r="B880" i="97"/>
  <c r="MC880" i="97" s="1"/>
  <c r="KN879" i="97"/>
  <c r="JD879" i="97"/>
  <c r="HZ879" i="97"/>
  <c r="Q879" i="97"/>
  <c r="P879" i="97"/>
  <c r="O879" i="97"/>
  <c r="N879" i="97"/>
  <c r="K879" i="97"/>
  <c r="I879" i="97"/>
  <c r="H879" i="97"/>
  <c r="G879" i="97"/>
  <c r="F879" i="97"/>
  <c r="E879" i="97"/>
  <c r="D879" i="97"/>
  <c r="C879" i="97"/>
  <c r="KA879" i="97" s="1"/>
  <c r="B879" i="97"/>
  <c r="A879" i="97"/>
  <c r="GF878" i="97"/>
  <c r="Q878" i="97"/>
  <c r="P878" i="97"/>
  <c r="O878" i="97"/>
  <c r="N878" i="97"/>
  <c r="K878" i="97"/>
  <c r="I878" i="97"/>
  <c r="H878" i="97"/>
  <c r="G878" i="97"/>
  <c r="F878" i="97"/>
  <c r="E878" i="97"/>
  <c r="D878" i="97"/>
  <c r="C878" i="97"/>
  <c r="B878" i="97"/>
  <c r="LX877" i="97"/>
  <c r="GF877" i="97"/>
  <c r="EU877" i="97"/>
  <c r="DO877" i="97"/>
  <c r="BX877" i="97"/>
  <c r="AM877" i="97"/>
  <c r="Q877" i="97"/>
  <c r="P877" i="97"/>
  <c r="O877" i="97"/>
  <c r="N877" i="97"/>
  <c r="K877" i="97"/>
  <c r="I877" i="97"/>
  <c r="H877" i="97"/>
  <c r="G877" i="97"/>
  <c r="F877" i="97"/>
  <c r="E877" i="97"/>
  <c r="D877" i="97"/>
  <c r="A877" i="97" s="1"/>
  <c r="C877" i="97"/>
  <c r="B877" i="97"/>
  <c r="LH877" i="97" s="1"/>
  <c r="Q876" i="97"/>
  <c r="P876" i="97"/>
  <c r="O876" i="97"/>
  <c r="N876" i="97"/>
  <c r="K876" i="97"/>
  <c r="I876" i="97"/>
  <c r="H876" i="97"/>
  <c r="G876" i="97"/>
  <c r="F876" i="97"/>
  <c r="E876" i="97"/>
  <c r="D876" i="97"/>
  <c r="C876" i="97"/>
  <c r="B876" i="97"/>
  <c r="KI875" i="97"/>
  <c r="JD875" i="97"/>
  <c r="ID875" i="97"/>
  <c r="Q875" i="97"/>
  <c r="KY875" i="97" s="1"/>
  <c r="P875" i="97"/>
  <c r="O875" i="97"/>
  <c r="IR875" i="97" s="1"/>
  <c r="N875" i="97"/>
  <c r="K875" i="97"/>
  <c r="I875" i="97"/>
  <c r="H875" i="97"/>
  <c r="G875" i="97"/>
  <c r="F875" i="97"/>
  <c r="E875" i="97"/>
  <c r="D875" i="97"/>
  <c r="C875" i="97"/>
  <c r="KB875" i="97" s="1"/>
  <c r="B875" i="97"/>
  <c r="FG875" i="97" s="1"/>
  <c r="Q874" i="97"/>
  <c r="P874" i="97"/>
  <c r="O874" i="97"/>
  <c r="N874" i="97"/>
  <c r="K874" i="97"/>
  <c r="I874" i="97"/>
  <c r="H874" i="97"/>
  <c r="G874" i="97"/>
  <c r="F874" i="97"/>
  <c r="E874" i="97"/>
  <c r="D874" i="97"/>
  <c r="C874" i="97"/>
  <c r="B874" i="97"/>
  <c r="JG873" i="97"/>
  <c r="FT873" i="97"/>
  <c r="Q873" i="97"/>
  <c r="P873" i="97"/>
  <c r="O873" i="97"/>
  <c r="N873" i="97"/>
  <c r="K873" i="97"/>
  <c r="I873" i="97"/>
  <c r="H873" i="97"/>
  <c r="G873" i="97"/>
  <c r="F873" i="97"/>
  <c r="E873" i="97"/>
  <c r="D873" i="97"/>
  <c r="C873" i="97"/>
  <c r="B873" i="97"/>
  <c r="IZ872" i="97"/>
  <c r="Q872" i="97"/>
  <c r="P872" i="97"/>
  <c r="O872" i="97"/>
  <c r="N872" i="97"/>
  <c r="K872" i="97"/>
  <c r="I872" i="97"/>
  <c r="H872" i="97"/>
  <c r="G872" i="97"/>
  <c r="F872" i="97"/>
  <c r="E872" i="97"/>
  <c r="D872" i="97"/>
  <c r="C872" i="97"/>
  <c r="IB872" i="97" s="1"/>
  <c r="B872" i="97"/>
  <c r="ID871" i="97"/>
  <c r="Q871" i="97"/>
  <c r="KR871" i="97" s="1"/>
  <c r="P871" i="97"/>
  <c r="O871" i="97"/>
  <c r="N871" i="97"/>
  <c r="K871" i="97"/>
  <c r="I871" i="97"/>
  <c r="H871" i="97"/>
  <c r="G871" i="97"/>
  <c r="F871" i="97"/>
  <c r="E871" i="97"/>
  <c r="D871" i="97"/>
  <c r="C871" i="97"/>
  <c r="B871" i="97"/>
  <c r="KJ870" i="97"/>
  <c r="IF870" i="97"/>
  <c r="FD870" i="97"/>
  <c r="DN870" i="97"/>
  <c r="BJ870" i="97"/>
  <c r="Q870" i="97"/>
  <c r="P870" i="97"/>
  <c r="O870" i="97"/>
  <c r="N870" i="97"/>
  <c r="K870" i="97"/>
  <c r="I870" i="97"/>
  <c r="H870" i="97"/>
  <c r="G870" i="97"/>
  <c r="F870" i="97"/>
  <c r="E870" i="97"/>
  <c r="D870" i="97"/>
  <c r="C870" i="97"/>
  <c r="B870" i="97"/>
  <c r="Q869" i="97"/>
  <c r="P869" i="97"/>
  <c r="O869" i="97"/>
  <c r="N869" i="97"/>
  <c r="K869" i="97"/>
  <c r="I869" i="97"/>
  <c r="H869" i="97"/>
  <c r="G869" i="97"/>
  <c r="F869" i="97"/>
  <c r="E869" i="97"/>
  <c r="D869" i="97"/>
  <c r="C869" i="97"/>
  <c r="B869" i="97"/>
  <c r="GY868" i="97"/>
  <c r="EU868" i="97"/>
  <c r="CV868" i="97"/>
  <c r="AR868" i="97"/>
  <c r="Q868" i="97"/>
  <c r="P868" i="97"/>
  <c r="O868" i="97"/>
  <c r="N868" i="97"/>
  <c r="K868" i="97"/>
  <c r="I868" i="97"/>
  <c r="H868" i="97"/>
  <c r="G868" i="97"/>
  <c r="F868" i="97"/>
  <c r="E868" i="97"/>
  <c r="D868" i="97"/>
  <c r="C868" i="97"/>
  <c r="GD868" i="97" s="1"/>
  <c r="B868" i="97"/>
  <c r="FH868" i="97" s="1"/>
  <c r="FM867" i="97"/>
  <c r="EG867" i="97"/>
  <c r="Q867" i="97"/>
  <c r="JC867" i="97" s="1"/>
  <c r="P867" i="97"/>
  <c r="O867" i="97"/>
  <c r="N867" i="97"/>
  <c r="K867" i="97"/>
  <c r="GA867" i="97" s="1"/>
  <c r="I867" i="97"/>
  <c r="H867" i="97"/>
  <c r="G867" i="97"/>
  <c r="F867" i="97"/>
  <c r="E867" i="97"/>
  <c r="D867" i="97"/>
  <c r="C867" i="97"/>
  <c r="IC867" i="97" s="1"/>
  <c r="B867" i="97"/>
  <c r="Q866" i="97"/>
  <c r="P866" i="97"/>
  <c r="O866" i="97"/>
  <c r="N866" i="97"/>
  <c r="K866" i="97"/>
  <c r="I866" i="97"/>
  <c r="H866" i="97"/>
  <c r="G866" i="97"/>
  <c r="F866" i="97"/>
  <c r="E866" i="97"/>
  <c r="D866" i="97"/>
  <c r="C866" i="97"/>
  <c r="B866" i="97"/>
  <c r="Q865" i="97"/>
  <c r="P865" i="97"/>
  <c r="O865" i="97"/>
  <c r="N865" i="97"/>
  <c r="K865" i="97"/>
  <c r="I865" i="97"/>
  <c r="H865" i="97"/>
  <c r="G865" i="97"/>
  <c r="F865" i="97"/>
  <c r="E865" i="97"/>
  <c r="D865" i="97"/>
  <c r="C865" i="97"/>
  <c r="B865" i="97"/>
  <c r="GD864" i="97"/>
  <c r="Q864" i="97"/>
  <c r="P864" i="97"/>
  <c r="O864" i="97"/>
  <c r="N864" i="97"/>
  <c r="K864" i="97"/>
  <c r="I864" i="97"/>
  <c r="H864" i="97"/>
  <c r="G864" i="97"/>
  <c r="F864" i="97"/>
  <c r="E864" i="97"/>
  <c r="D864" i="97"/>
  <c r="C864" i="97"/>
  <c r="B864" i="97"/>
  <c r="EQ863" i="97"/>
  <c r="BU863" i="97"/>
  <c r="BE863" i="97"/>
  <c r="AI863" i="97"/>
  <c r="Q863" i="97"/>
  <c r="P863" i="97"/>
  <c r="LZ863" i="97" s="1"/>
  <c r="O863" i="97"/>
  <c r="N863" i="97"/>
  <c r="K863" i="97"/>
  <c r="CK863" i="97" s="1"/>
  <c r="I863" i="97"/>
  <c r="H863" i="97"/>
  <c r="G863" i="97"/>
  <c r="F863" i="97"/>
  <c r="E863" i="97"/>
  <c r="D863" i="97"/>
  <c r="C863" i="97"/>
  <c r="B863" i="97"/>
  <c r="LK863" i="97" s="1"/>
  <c r="Q862" i="97"/>
  <c r="P862" i="97"/>
  <c r="O862" i="97"/>
  <c r="N862" i="97"/>
  <c r="K862" i="97"/>
  <c r="I862" i="97"/>
  <c r="H862" i="97"/>
  <c r="G862" i="97"/>
  <c r="F862" i="97"/>
  <c r="E862" i="97"/>
  <c r="D862" i="97"/>
  <c r="C862" i="97"/>
  <c r="B862" i="97"/>
  <c r="HB861" i="97"/>
  <c r="FN861" i="97"/>
  <c r="FA861" i="97"/>
  <c r="EG861" i="97"/>
  <c r="DR861" i="97"/>
  <c r="BI861" i="97"/>
  <c r="AW861" i="97"/>
  <c r="Q861" i="97"/>
  <c r="P861" i="97"/>
  <c r="O861" i="97"/>
  <c r="JM861" i="97" s="1"/>
  <c r="N861" i="97"/>
  <c r="K861" i="97"/>
  <c r="FY861" i="97" s="1"/>
  <c r="I861" i="97"/>
  <c r="H861" i="97"/>
  <c r="G861" i="97"/>
  <c r="F861" i="97"/>
  <c r="E861" i="97"/>
  <c r="D861" i="97"/>
  <c r="C861" i="97"/>
  <c r="LY861" i="97" s="1"/>
  <c r="B861" i="97"/>
  <c r="LH861" i="97" s="1"/>
  <c r="Q860" i="97"/>
  <c r="P860" i="97"/>
  <c r="O860" i="97"/>
  <c r="N860" i="97"/>
  <c r="K860" i="97"/>
  <c r="I860" i="97"/>
  <c r="H860" i="97"/>
  <c r="G860" i="97"/>
  <c r="F860" i="97"/>
  <c r="E860" i="97"/>
  <c r="D860" i="97"/>
  <c r="C860" i="97"/>
  <c r="B860" i="97"/>
  <c r="HQ859" i="97"/>
  <c r="GC859" i="97"/>
  <c r="FU859" i="97"/>
  <c r="ES859" i="97"/>
  <c r="EH859" i="97"/>
  <c r="CS859" i="97"/>
  <c r="BV859" i="97"/>
  <c r="AP859" i="97"/>
  <c r="AO859" i="97"/>
  <c r="Q859" i="97"/>
  <c r="P859" i="97"/>
  <c r="GT859" i="97" s="1"/>
  <c r="O859" i="97"/>
  <c r="JM859" i="97" s="1"/>
  <c r="N859" i="97"/>
  <c r="K859" i="97"/>
  <c r="DI859" i="97" s="1"/>
  <c r="I859" i="97"/>
  <c r="H859" i="97"/>
  <c r="G859" i="97"/>
  <c r="F859" i="97"/>
  <c r="E859" i="97"/>
  <c r="D859" i="97"/>
  <c r="C859" i="97"/>
  <c r="KL859" i="97" s="1"/>
  <c r="B859" i="97"/>
  <c r="EW859" i="97" s="1"/>
  <c r="LU858" i="97"/>
  <c r="GX858" i="97"/>
  <c r="FQ858" i="97"/>
  <c r="FB858" i="97"/>
  <c r="DF858" i="97"/>
  <c r="CP858" i="97"/>
  <c r="AT858" i="97"/>
  <c r="AS858" i="97"/>
  <c r="Q858" i="97"/>
  <c r="P858" i="97"/>
  <c r="O858" i="97"/>
  <c r="IT858" i="97" s="1"/>
  <c r="N858" i="97"/>
  <c r="K858" i="97"/>
  <c r="I858" i="97"/>
  <c r="H858" i="97"/>
  <c r="G858" i="97"/>
  <c r="F858" i="97"/>
  <c r="E858" i="97"/>
  <c r="D858" i="97"/>
  <c r="C858" i="97"/>
  <c r="JZ858" i="97" s="1"/>
  <c r="B858" i="97"/>
  <c r="EL858" i="97" s="1"/>
  <c r="HJ857" i="97"/>
  <c r="BZ857" i="97"/>
  <c r="Q857" i="97"/>
  <c r="P857" i="97"/>
  <c r="O857" i="97"/>
  <c r="N857" i="97"/>
  <c r="K857" i="97"/>
  <c r="J857" i="97"/>
  <c r="I857" i="97"/>
  <c r="H857" i="97"/>
  <c r="G857" i="97"/>
  <c r="F857" i="97"/>
  <c r="E857" i="97"/>
  <c r="D857" i="97"/>
  <c r="C857" i="97"/>
  <c r="GC857" i="97" s="1"/>
  <c r="B857" i="97"/>
  <c r="LI857" i="97" s="1"/>
  <c r="Q856" i="97"/>
  <c r="P856" i="97"/>
  <c r="O856" i="97"/>
  <c r="N856" i="97"/>
  <c r="K856" i="97"/>
  <c r="J856" i="97"/>
  <c r="I856" i="97"/>
  <c r="H856" i="97"/>
  <c r="G856" i="97"/>
  <c r="F856" i="97"/>
  <c r="E856" i="97"/>
  <c r="MP856" i="97" s="1"/>
  <c r="D856" i="97"/>
  <c r="C856" i="97"/>
  <c r="IN856" i="97" s="1"/>
  <c r="B856" i="97"/>
  <c r="Q855" i="97"/>
  <c r="P855" i="97"/>
  <c r="O855" i="97"/>
  <c r="N855" i="97"/>
  <c r="K855" i="97"/>
  <c r="J855" i="97"/>
  <c r="I855" i="97"/>
  <c r="H855" i="97"/>
  <c r="G855" i="97"/>
  <c r="F855" i="97"/>
  <c r="E855" i="97"/>
  <c r="D855" i="97"/>
  <c r="C855" i="97"/>
  <c r="B855" i="97"/>
  <c r="Q854" i="97"/>
  <c r="P854" i="97"/>
  <c r="O854" i="97"/>
  <c r="N854" i="97"/>
  <c r="K854" i="97"/>
  <c r="J854" i="97"/>
  <c r="I854" i="97"/>
  <c r="H854" i="97"/>
  <c r="G854" i="97"/>
  <c r="F854" i="97"/>
  <c r="E854" i="97"/>
  <c r="D854" i="97"/>
  <c r="C854" i="97"/>
  <c r="B854" i="97"/>
  <c r="JE853" i="97"/>
  <c r="Q853" i="97"/>
  <c r="P853" i="97"/>
  <c r="O853" i="97"/>
  <c r="N853" i="97"/>
  <c r="K853" i="97"/>
  <c r="J853" i="97"/>
  <c r="I853" i="97"/>
  <c r="H853" i="97"/>
  <c r="G853" i="97"/>
  <c r="F853" i="97"/>
  <c r="E853" i="97"/>
  <c r="D853" i="97"/>
  <c r="C853" i="97"/>
  <c r="B853" i="97"/>
  <c r="JD852" i="97"/>
  <c r="Q852" i="97"/>
  <c r="P852" i="97"/>
  <c r="O852" i="97"/>
  <c r="JN852" i="97" s="1"/>
  <c r="N852" i="97"/>
  <c r="K852" i="97"/>
  <c r="J852" i="97"/>
  <c r="I852" i="97"/>
  <c r="H852" i="97"/>
  <c r="G852" i="97"/>
  <c r="F852" i="97"/>
  <c r="E852" i="97"/>
  <c r="D852" i="97"/>
  <c r="C852" i="97"/>
  <c r="B852" i="97"/>
  <c r="Q851" i="97"/>
  <c r="P851" i="97"/>
  <c r="O851" i="97"/>
  <c r="N851" i="97"/>
  <c r="K851" i="97"/>
  <c r="J851" i="97"/>
  <c r="I851" i="97"/>
  <c r="H851" i="97"/>
  <c r="G851" i="97"/>
  <c r="F851" i="97"/>
  <c r="E851" i="97"/>
  <c r="D851" i="97"/>
  <c r="C851" i="97"/>
  <c r="B851" i="97"/>
  <c r="O848" i="97"/>
  <c r="P847" i="97"/>
  <c r="G847" i="97"/>
  <c r="P846" i="97"/>
  <c r="L846" i="97"/>
  <c r="G846" i="97"/>
  <c r="T844" i="97"/>
  <c r="A842" i="97"/>
  <c r="T842" i="97" s="1"/>
  <c r="B834" i="97"/>
  <c r="M829" i="97"/>
  <c r="L829" i="97"/>
  <c r="K829" i="97"/>
  <c r="J829" i="97"/>
  <c r="I829" i="97"/>
  <c r="G829" i="97"/>
  <c r="F829" i="97"/>
  <c r="C829" i="97"/>
  <c r="M828" i="97"/>
  <c r="L828" i="97"/>
  <c r="K828" i="97"/>
  <c r="J828" i="97"/>
  <c r="I828" i="97"/>
  <c r="G828" i="97"/>
  <c r="F828" i="97"/>
  <c r="M827" i="97"/>
  <c r="L827" i="97"/>
  <c r="K827" i="97"/>
  <c r="J827" i="97"/>
  <c r="I827" i="97"/>
  <c r="G827" i="97"/>
  <c r="F827" i="97"/>
  <c r="E827" i="97"/>
  <c r="M826" i="97"/>
  <c r="L826" i="97"/>
  <c r="K826" i="97"/>
  <c r="J826" i="97"/>
  <c r="I826" i="97"/>
  <c r="G826" i="97"/>
  <c r="F826" i="97"/>
  <c r="M825" i="97"/>
  <c r="L825" i="97"/>
  <c r="K825" i="97"/>
  <c r="J825" i="97"/>
  <c r="I825" i="97"/>
  <c r="G825" i="97"/>
  <c r="F825" i="97"/>
  <c r="M824" i="97"/>
  <c r="L824" i="97"/>
  <c r="K824" i="97"/>
  <c r="J824" i="97"/>
  <c r="I824" i="97"/>
  <c r="G824" i="97"/>
  <c r="F824" i="97"/>
  <c r="M823" i="97"/>
  <c r="L823" i="97"/>
  <c r="K823" i="97"/>
  <c r="J823" i="97"/>
  <c r="I823" i="97"/>
  <c r="G823" i="97"/>
  <c r="F823" i="97"/>
  <c r="M822" i="97"/>
  <c r="L822" i="97"/>
  <c r="K822" i="97"/>
  <c r="J822" i="97"/>
  <c r="I822" i="97"/>
  <c r="G822" i="97"/>
  <c r="F822" i="97"/>
  <c r="D822" i="97"/>
  <c r="M821" i="97"/>
  <c r="L821" i="97"/>
  <c r="K821" i="97"/>
  <c r="J821" i="97"/>
  <c r="I821" i="97"/>
  <c r="G821" i="97"/>
  <c r="F821" i="97"/>
  <c r="D821" i="97"/>
  <c r="M820" i="97"/>
  <c r="L820" i="97"/>
  <c r="K820" i="97"/>
  <c r="J820" i="97"/>
  <c r="I820" i="97"/>
  <c r="G820" i="97"/>
  <c r="F820" i="97"/>
  <c r="D820" i="97"/>
  <c r="L816" i="97"/>
  <c r="I816" i="97"/>
  <c r="I815" i="97"/>
  <c r="M812" i="97"/>
  <c r="L812" i="97"/>
  <c r="K812" i="97"/>
  <c r="J812" i="97"/>
  <c r="I812" i="97"/>
  <c r="G812" i="97"/>
  <c r="F812" i="97"/>
  <c r="C812" i="97"/>
  <c r="M811" i="97"/>
  <c r="L811" i="97"/>
  <c r="K811" i="97"/>
  <c r="J811" i="97"/>
  <c r="I811" i="97"/>
  <c r="G811" i="97"/>
  <c r="F811" i="97"/>
  <c r="M810" i="97"/>
  <c r="L810" i="97"/>
  <c r="K810" i="97"/>
  <c r="J810" i="97"/>
  <c r="I810" i="97"/>
  <c r="G810" i="97"/>
  <c r="F810" i="97"/>
  <c r="E810" i="97"/>
  <c r="M809" i="97"/>
  <c r="L809" i="97"/>
  <c r="K809" i="97"/>
  <c r="J809" i="97"/>
  <c r="I809" i="97"/>
  <c r="G809" i="97"/>
  <c r="F809" i="97"/>
  <c r="M808" i="97"/>
  <c r="L808" i="97"/>
  <c r="K808" i="97"/>
  <c r="J808" i="97"/>
  <c r="I808" i="97"/>
  <c r="G808" i="97"/>
  <c r="F808" i="97"/>
  <c r="M807" i="97"/>
  <c r="L807" i="97"/>
  <c r="K807" i="97"/>
  <c r="J807" i="97"/>
  <c r="I807" i="97"/>
  <c r="G807" i="97"/>
  <c r="F807" i="97"/>
  <c r="M806" i="97"/>
  <c r="L806" i="97"/>
  <c r="K806" i="97"/>
  <c r="J806" i="97"/>
  <c r="I806" i="97"/>
  <c r="G806" i="97"/>
  <c r="F806" i="97"/>
  <c r="M805" i="97"/>
  <c r="L805" i="97"/>
  <c r="K805" i="97"/>
  <c r="J805" i="97"/>
  <c r="I805" i="97"/>
  <c r="G805" i="97"/>
  <c r="F805" i="97"/>
  <c r="D805" i="97"/>
  <c r="M804" i="97"/>
  <c r="L804" i="97"/>
  <c r="K804" i="97"/>
  <c r="J804" i="97"/>
  <c r="I804" i="97"/>
  <c r="G804" i="97"/>
  <c r="F804" i="97"/>
  <c r="D804" i="97"/>
  <c r="M803" i="97"/>
  <c r="L803" i="97"/>
  <c r="L813" i="97" s="1"/>
  <c r="K803" i="97"/>
  <c r="J803" i="97"/>
  <c r="I803" i="97"/>
  <c r="G803" i="97"/>
  <c r="F803" i="97"/>
  <c r="D803" i="97"/>
  <c r="L799" i="97"/>
  <c r="I799" i="97"/>
  <c r="I798" i="97"/>
  <c r="B794" i="97"/>
  <c r="A792" i="97"/>
  <c r="D787" i="97"/>
  <c r="B787" i="97"/>
  <c r="H784" i="97"/>
  <c r="F784" i="97"/>
  <c r="A784" i="97"/>
  <c r="D781" i="97"/>
  <c r="B781" i="97"/>
  <c r="H778" i="97"/>
  <c r="F778" i="97"/>
  <c r="A778" i="97"/>
  <c r="B775" i="97"/>
  <c r="F772" i="97"/>
  <c r="A772" i="97"/>
  <c r="B769" i="97"/>
  <c r="F766" i="97"/>
  <c r="A766" i="97"/>
  <c r="B764" i="97"/>
  <c r="F761" i="97"/>
  <c r="A761" i="97"/>
  <c r="B758" i="97"/>
  <c r="F755" i="97"/>
  <c r="A755" i="97"/>
  <c r="D752" i="97"/>
  <c r="B752" i="97"/>
  <c r="H749" i="97"/>
  <c r="F749" i="97"/>
  <c r="A749" i="97"/>
  <c r="D746" i="97"/>
  <c r="B746" i="97"/>
  <c r="H743" i="97"/>
  <c r="F743" i="97"/>
  <c r="A743" i="97"/>
  <c r="D741" i="97"/>
  <c r="B741" i="97"/>
  <c r="H738" i="97"/>
  <c r="F738" i="97"/>
  <c r="A738" i="97"/>
  <c r="D735" i="97"/>
  <c r="B735" i="97"/>
  <c r="H732" i="97"/>
  <c r="F732" i="97"/>
  <c r="A732" i="97"/>
  <c r="D729" i="97"/>
  <c r="B729" i="97"/>
  <c r="H726" i="97"/>
  <c r="F726" i="97"/>
  <c r="A726" i="97"/>
  <c r="D724" i="97"/>
  <c r="B724" i="97"/>
  <c r="H721" i="97"/>
  <c r="F721" i="97"/>
  <c r="A721" i="97"/>
  <c r="D719" i="97"/>
  <c r="B719" i="97"/>
  <c r="H716" i="97"/>
  <c r="F716" i="97"/>
  <c r="A716" i="97"/>
  <c r="A704" i="97"/>
  <c r="S700" i="97"/>
  <c r="J700" i="97"/>
  <c r="E611" i="97" s="1"/>
  <c r="S698" i="97"/>
  <c r="J698" i="97"/>
  <c r="J696" i="97"/>
  <c r="M698" i="97" s="1"/>
  <c r="S694" i="97"/>
  <c r="U696" i="97" s="1"/>
  <c r="Q691" i="97"/>
  <c r="N691" i="97"/>
  <c r="T688" i="97"/>
  <c r="O688" i="97"/>
  <c r="J688" i="97"/>
  <c r="W684" i="97"/>
  <c r="P672" i="97"/>
  <c r="M672" i="97"/>
  <c r="J672" i="97"/>
  <c r="R668" i="97"/>
  <c r="P668" i="97"/>
  <c r="J668" i="97"/>
  <c r="H668" i="97"/>
  <c r="W664" i="97"/>
  <c r="V662" i="97"/>
  <c r="P661" i="97"/>
  <c r="J661" i="97"/>
  <c r="C661" i="97"/>
  <c r="P660" i="97"/>
  <c r="J660" i="97"/>
  <c r="P659" i="97"/>
  <c r="J659" i="97"/>
  <c r="P658" i="97"/>
  <c r="J658" i="97"/>
  <c r="P657" i="97"/>
  <c r="J657" i="97"/>
  <c r="P656" i="97"/>
  <c r="J656" i="97"/>
  <c r="W654" i="97"/>
  <c r="W653" i="97"/>
  <c r="V647" i="97"/>
  <c r="S646" i="97"/>
  <c r="P646" i="97"/>
  <c r="M646" i="97"/>
  <c r="J646" i="97"/>
  <c r="G646" i="97"/>
  <c r="C646" i="97"/>
  <c r="S645" i="97"/>
  <c r="P645" i="97"/>
  <c r="M645" i="97"/>
  <c r="J645" i="97"/>
  <c r="G645" i="97"/>
  <c r="W644" i="97"/>
  <c r="O644" i="97"/>
  <c r="V642" i="97"/>
  <c r="V638" i="97"/>
  <c r="S637" i="97"/>
  <c r="P637" i="97"/>
  <c r="M637" i="97"/>
  <c r="J637" i="97"/>
  <c r="G637" i="97"/>
  <c r="C637" i="97"/>
  <c r="S636" i="97"/>
  <c r="P636" i="97"/>
  <c r="P638" i="97" s="1"/>
  <c r="M636" i="97"/>
  <c r="M638" i="97" s="1"/>
  <c r="J636" i="97"/>
  <c r="J638" i="97" s="1"/>
  <c r="G636" i="97"/>
  <c r="S635" i="97"/>
  <c r="G635" i="97"/>
  <c r="AF634" i="97"/>
  <c r="S634" i="97"/>
  <c r="G634" i="97"/>
  <c r="J634" i="97" s="1"/>
  <c r="AF633" i="97"/>
  <c r="S633" i="97"/>
  <c r="G633" i="97"/>
  <c r="J633" i="97" s="1"/>
  <c r="S632" i="97"/>
  <c r="G632" i="97"/>
  <c r="W631" i="97"/>
  <c r="O631" i="97"/>
  <c r="AC630" i="97"/>
  <c r="AA630" i="97"/>
  <c r="V630" i="97"/>
  <c r="AC629" i="97"/>
  <c r="AB629" i="97"/>
  <c r="AA629" i="97"/>
  <c r="S629" i="97"/>
  <c r="P629" i="97"/>
  <c r="M629" i="97"/>
  <c r="J629" i="97"/>
  <c r="G629" i="97"/>
  <c r="F629" i="97"/>
  <c r="AC628" i="97"/>
  <c r="AB628" i="97"/>
  <c r="AA628" i="97"/>
  <c r="S628" i="97"/>
  <c r="P628" i="97"/>
  <c r="M628" i="97"/>
  <c r="J628" i="97"/>
  <c r="G628" i="97"/>
  <c r="F628" i="97"/>
  <c r="AC627" i="97"/>
  <c r="AA627" i="97"/>
  <c r="S627" i="97"/>
  <c r="P627" i="97"/>
  <c r="M627" i="97"/>
  <c r="J627" i="97"/>
  <c r="G627" i="97"/>
  <c r="F627" i="97"/>
  <c r="AC626" i="97"/>
  <c r="AB626" i="97"/>
  <c r="AA626" i="97"/>
  <c r="F626" i="97"/>
  <c r="AC625" i="97"/>
  <c r="AB625" i="97"/>
  <c r="AA625" i="97"/>
  <c r="S625" i="97"/>
  <c r="P625" i="97"/>
  <c r="P630" i="97" s="1"/>
  <c r="M625" i="97"/>
  <c r="J625" i="97"/>
  <c r="G625" i="97"/>
  <c r="F625" i="97"/>
  <c r="W624" i="97"/>
  <c r="O624" i="97"/>
  <c r="E624" i="97"/>
  <c r="E630" i="97" s="1"/>
  <c r="V623" i="97"/>
  <c r="S622" i="97"/>
  <c r="G622" i="97"/>
  <c r="C622" i="97"/>
  <c r="S621" i="97"/>
  <c r="G621" i="97"/>
  <c r="S620" i="97"/>
  <c r="G620" i="97"/>
  <c r="S619" i="97"/>
  <c r="G619" i="97"/>
  <c r="W618" i="97"/>
  <c r="O618" i="97"/>
  <c r="V617" i="97"/>
  <c r="U616" i="97"/>
  <c r="S616" i="97"/>
  <c r="G616" i="97"/>
  <c r="C616" i="97"/>
  <c r="A616" i="97"/>
  <c r="S615" i="97"/>
  <c r="G615" i="97"/>
  <c r="U615" i="97" s="1"/>
  <c r="C615" i="97"/>
  <c r="S614" i="97"/>
  <c r="G614" i="97"/>
  <c r="F614" i="97"/>
  <c r="S613" i="97"/>
  <c r="G613" i="97"/>
  <c r="F613" i="97"/>
  <c r="S612" i="97"/>
  <c r="G612" i="97"/>
  <c r="S611" i="97"/>
  <c r="G611" i="97"/>
  <c r="S610" i="97"/>
  <c r="G610" i="97"/>
  <c r="S609" i="97"/>
  <c r="G609" i="97"/>
  <c r="B609" i="97"/>
  <c r="S608" i="97"/>
  <c r="G608" i="97"/>
  <c r="B608" i="97"/>
  <c r="W607" i="97"/>
  <c r="O607" i="97"/>
  <c r="V606" i="97"/>
  <c r="S605" i="97"/>
  <c r="G605" i="97"/>
  <c r="C605" i="97"/>
  <c r="S604" i="97"/>
  <c r="G604" i="97"/>
  <c r="S603" i="97"/>
  <c r="G603" i="97"/>
  <c r="S602" i="97"/>
  <c r="G602" i="97"/>
  <c r="S601" i="97"/>
  <c r="G601" i="97"/>
  <c r="S600" i="97"/>
  <c r="G600" i="97"/>
  <c r="W599" i="97"/>
  <c r="O599" i="97"/>
  <c r="V597" i="97"/>
  <c r="V595" i="97"/>
  <c r="S594" i="97"/>
  <c r="P594" i="97"/>
  <c r="M594" i="97"/>
  <c r="J594" i="97"/>
  <c r="G594" i="97"/>
  <c r="E594" i="97"/>
  <c r="S593" i="97"/>
  <c r="P593" i="97"/>
  <c r="M593" i="97"/>
  <c r="J593" i="97"/>
  <c r="G593" i="97"/>
  <c r="E593" i="97"/>
  <c r="S592" i="97"/>
  <c r="P592" i="97"/>
  <c r="M592" i="97"/>
  <c r="J592" i="97"/>
  <c r="G592" i="97"/>
  <c r="G595" i="97" s="1"/>
  <c r="S591" i="97"/>
  <c r="P591" i="97"/>
  <c r="M591" i="97"/>
  <c r="J591" i="97"/>
  <c r="J595" i="97" s="1"/>
  <c r="G591" i="97"/>
  <c r="W590" i="97"/>
  <c r="O590" i="97"/>
  <c r="V589" i="97"/>
  <c r="S588" i="97"/>
  <c r="P588" i="97"/>
  <c r="M588" i="97"/>
  <c r="J588" i="97"/>
  <c r="G588" i="97"/>
  <c r="C588" i="97"/>
  <c r="S587" i="97"/>
  <c r="P587" i="97"/>
  <c r="M587" i="97"/>
  <c r="J587" i="97"/>
  <c r="G587" i="97"/>
  <c r="S586" i="97"/>
  <c r="P586" i="97"/>
  <c r="M586" i="97"/>
  <c r="J586" i="97"/>
  <c r="G586" i="97"/>
  <c r="S585" i="97"/>
  <c r="P585" i="97"/>
  <c r="M585" i="97"/>
  <c r="J585" i="97"/>
  <c r="G585" i="97"/>
  <c r="S584" i="97"/>
  <c r="P584" i="97"/>
  <c r="M584" i="97"/>
  <c r="J584" i="97"/>
  <c r="G584" i="97"/>
  <c r="S583" i="97"/>
  <c r="P583" i="97"/>
  <c r="M583" i="97"/>
  <c r="J583" i="97"/>
  <c r="G583" i="97"/>
  <c r="S582" i="97"/>
  <c r="P582" i="97"/>
  <c r="M582" i="97"/>
  <c r="J582" i="97"/>
  <c r="G582" i="97"/>
  <c r="S581" i="97"/>
  <c r="P581" i="97"/>
  <c r="M581" i="97"/>
  <c r="J581" i="97"/>
  <c r="G581" i="97"/>
  <c r="S580" i="97"/>
  <c r="P580" i="97"/>
  <c r="M580" i="97"/>
  <c r="J580" i="97"/>
  <c r="G580" i="97"/>
  <c r="S579" i="97"/>
  <c r="P579" i="97"/>
  <c r="P589" i="97" s="1"/>
  <c r="M579" i="97"/>
  <c r="J579" i="97"/>
  <c r="G579" i="97"/>
  <c r="S578" i="97"/>
  <c r="P578" i="97"/>
  <c r="M578" i="97"/>
  <c r="J578" i="97"/>
  <c r="G578" i="97"/>
  <c r="W577" i="97"/>
  <c r="O577" i="97"/>
  <c r="V576" i="97"/>
  <c r="S575" i="97"/>
  <c r="P575" i="97"/>
  <c r="M575" i="97"/>
  <c r="J575" i="97"/>
  <c r="G575" i="97"/>
  <c r="A575" i="97" s="1"/>
  <c r="C575" i="97"/>
  <c r="S574" i="97"/>
  <c r="P574" i="97"/>
  <c r="M574" i="97"/>
  <c r="J574" i="97"/>
  <c r="G574" i="97"/>
  <c r="A574" i="97" s="1"/>
  <c r="C574" i="97"/>
  <c r="S573" i="97"/>
  <c r="P573" i="97"/>
  <c r="M573" i="97"/>
  <c r="J573" i="97"/>
  <c r="G573" i="97"/>
  <c r="S572" i="97"/>
  <c r="P572" i="97"/>
  <c r="M572" i="97"/>
  <c r="J572" i="97"/>
  <c r="G572" i="97"/>
  <c r="S571" i="97"/>
  <c r="P571" i="97"/>
  <c r="M571" i="97"/>
  <c r="J571" i="97"/>
  <c r="G571" i="97"/>
  <c r="S570" i="97"/>
  <c r="P570" i="97"/>
  <c r="M570" i="97"/>
  <c r="J570" i="97"/>
  <c r="G570" i="97"/>
  <c r="S569" i="97"/>
  <c r="P569" i="97"/>
  <c r="M569" i="97"/>
  <c r="J569" i="97"/>
  <c r="G569" i="97"/>
  <c r="S568" i="97"/>
  <c r="P568" i="97"/>
  <c r="M568" i="97"/>
  <c r="J568" i="97"/>
  <c r="G568" i="97"/>
  <c r="S567" i="97"/>
  <c r="P567" i="97"/>
  <c r="M567" i="97"/>
  <c r="J567" i="97"/>
  <c r="G567" i="97"/>
  <c r="S566" i="97"/>
  <c r="P566" i="97"/>
  <c r="M566" i="97"/>
  <c r="J566" i="97"/>
  <c r="G566" i="97"/>
  <c r="S565" i="97"/>
  <c r="P565" i="97"/>
  <c r="M565" i="97"/>
  <c r="J565" i="97"/>
  <c r="G565" i="97"/>
  <c r="S564" i="97"/>
  <c r="P564" i="97"/>
  <c r="M564" i="97"/>
  <c r="J564" i="97"/>
  <c r="G564" i="97"/>
  <c r="W563" i="97"/>
  <c r="O563" i="97"/>
  <c r="S558" i="97"/>
  <c r="P558" i="97"/>
  <c r="M558" i="97"/>
  <c r="J558" i="97"/>
  <c r="G558" i="97"/>
  <c r="W557" i="97"/>
  <c r="O557" i="97"/>
  <c r="W554" i="97"/>
  <c r="S549" i="97"/>
  <c r="P549" i="97"/>
  <c r="M549" i="97"/>
  <c r="J549" i="97"/>
  <c r="G549" i="97"/>
  <c r="C549" i="97"/>
  <c r="W548" i="97"/>
  <c r="O548" i="97"/>
  <c r="V544" i="97"/>
  <c r="S543" i="97"/>
  <c r="P543" i="97"/>
  <c r="M543" i="97"/>
  <c r="J543" i="97"/>
  <c r="G543" i="97"/>
  <c r="F543" i="97"/>
  <c r="D543" i="97"/>
  <c r="S542" i="97"/>
  <c r="P542" i="97"/>
  <c r="M542" i="97"/>
  <c r="J542" i="97"/>
  <c r="G542" i="97"/>
  <c r="F542" i="97"/>
  <c r="D542" i="97"/>
  <c r="S541" i="97"/>
  <c r="P541" i="97"/>
  <c r="M541" i="97"/>
  <c r="J541" i="97"/>
  <c r="G541" i="97"/>
  <c r="F541" i="97"/>
  <c r="D541" i="97"/>
  <c r="W540" i="97"/>
  <c r="O540" i="97"/>
  <c r="V539" i="97"/>
  <c r="S538" i="97"/>
  <c r="P538" i="97"/>
  <c r="M538" i="97"/>
  <c r="J538" i="97"/>
  <c r="G538" i="97"/>
  <c r="S537" i="97"/>
  <c r="P537" i="97"/>
  <c r="M537" i="97"/>
  <c r="J537" i="97"/>
  <c r="G537" i="97"/>
  <c r="S536" i="97"/>
  <c r="P536" i="97"/>
  <c r="M536" i="97"/>
  <c r="J536" i="97"/>
  <c r="G536" i="97"/>
  <c r="S535" i="97"/>
  <c r="P535" i="97"/>
  <c r="M535" i="97"/>
  <c r="J535" i="97"/>
  <c r="G535" i="97"/>
  <c r="S534" i="97"/>
  <c r="P534" i="97"/>
  <c r="M534" i="97"/>
  <c r="J534" i="97"/>
  <c r="G534" i="97"/>
  <c r="S533" i="97"/>
  <c r="S539" i="97" s="1"/>
  <c r="P533" i="97"/>
  <c r="M533" i="97"/>
  <c r="J533" i="97"/>
  <c r="G533" i="97"/>
  <c r="G539" i="97" s="1"/>
  <c r="W532" i="97"/>
  <c r="O532" i="97"/>
  <c r="V531" i="97"/>
  <c r="S530" i="97"/>
  <c r="J530" i="97"/>
  <c r="G530" i="97"/>
  <c r="S529" i="97"/>
  <c r="P529" i="97"/>
  <c r="P531" i="97" s="1"/>
  <c r="M529" i="97"/>
  <c r="M531" i="97" s="1"/>
  <c r="J529" i="97"/>
  <c r="J531" i="97" s="1"/>
  <c r="G529" i="97"/>
  <c r="F529" i="97" s="1"/>
  <c r="W528" i="97"/>
  <c r="O528" i="97"/>
  <c r="V527" i="97"/>
  <c r="S526" i="97"/>
  <c r="M526" i="97"/>
  <c r="G526" i="97"/>
  <c r="S525" i="97"/>
  <c r="M525" i="97"/>
  <c r="G525" i="97"/>
  <c r="S524" i="97"/>
  <c r="G524" i="97"/>
  <c r="S523" i="97"/>
  <c r="G523" i="97"/>
  <c r="F523" i="97" s="1"/>
  <c r="W522" i="97"/>
  <c r="O522" i="97"/>
  <c r="V521" i="97"/>
  <c r="S520" i="97"/>
  <c r="P520" i="97"/>
  <c r="M520" i="97"/>
  <c r="J520" i="97"/>
  <c r="G520" i="97"/>
  <c r="C520" i="97"/>
  <c r="S519" i="97"/>
  <c r="P519" i="97"/>
  <c r="M519" i="97"/>
  <c r="J519" i="97"/>
  <c r="G519" i="97"/>
  <c r="C519" i="97"/>
  <c r="S518" i="97"/>
  <c r="P518" i="97"/>
  <c r="M518" i="97"/>
  <c r="J518" i="97"/>
  <c r="G518" i="97"/>
  <c r="C518" i="97"/>
  <c r="S517" i="97"/>
  <c r="P517" i="97"/>
  <c r="M517" i="97"/>
  <c r="J517" i="97"/>
  <c r="G517" i="97"/>
  <c r="S516" i="97"/>
  <c r="P516" i="97"/>
  <c r="M516" i="97"/>
  <c r="J516" i="97"/>
  <c r="G516" i="97"/>
  <c r="S515" i="97"/>
  <c r="P515" i="97"/>
  <c r="M515" i="97"/>
  <c r="J515" i="97"/>
  <c r="G515" i="97"/>
  <c r="S514" i="97"/>
  <c r="P514" i="97"/>
  <c r="M514" i="97"/>
  <c r="J514" i="97"/>
  <c r="G514" i="97"/>
  <c r="S513" i="97"/>
  <c r="P513" i="97"/>
  <c r="M513" i="97"/>
  <c r="J513" i="97"/>
  <c r="G513" i="97"/>
  <c r="S512" i="97"/>
  <c r="P512" i="97"/>
  <c r="M512" i="97"/>
  <c r="J512" i="97"/>
  <c r="G512" i="97"/>
  <c r="W511" i="97"/>
  <c r="O511" i="97"/>
  <c r="V509" i="97"/>
  <c r="D509" i="97"/>
  <c r="A505" i="97"/>
  <c r="W505" i="97" s="1"/>
  <c r="A500" i="97"/>
  <c r="I493" i="97"/>
  <c r="E493" i="97"/>
  <c r="C493" i="97"/>
  <c r="I492" i="97"/>
  <c r="E492" i="97"/>
  <c r="C492" i="97"/>
  <c r="I491" i="97"/>
  <c r="E491" i="97"/>
  <c r="C491" i="97"/>
  <c r="I490" i="97"/>
  <c r="E490" i="97"/>
  <c r="I489" i="97"/>
  <c r="E489" i="97"/>
  <c r="I488" i="97"/>
  <c r="E488" i="97"/>
  <c r="I487" i="97"/>
  <c r="E487" i="97"/>
  <c r="I486" i="97"/>
  <c r="E486" i="97"/>
  <c r="I485" i="97"/>
  <c r="E485" i="97"/>
  <c r="I484" i="97"/>
  <c r="E484" i="97"/>
  <c r="I483" i="97"/>
  <c r="E483" i="97"/>
  <c r="N479" i="97"/>
  <c r="M479" i="97"/>
  <c r="L479" i="97"/>
  <c r="K479" i="97"/>
  <c r="I479" i="97"/>
  <c r="E479" i="97"/>
  <c r="I478" i="97"/>
  <c r="E478" i="97"/>
  <c r="N477" i="97"/>
  <c r="M477" i="97"/>
  <c r="L477" i="97"/>
  <c r="K477" i="97"/>
  <c r="I477" i="97"/>
  <c r="E477" i="97"/>
  <c r="C477" i="97"/>
  <c r="N476" i="97"/>
  <c r="M476" i="97"/>
  <c r="L476" i="97"/>
  <c r="K476" i="97"/>
  <c r="I476" i="97"/>
  <c r="E476" i="97"/>
  <c r="N475" i="97"/>
  <c r="M475" i="97"/>
  <c r="L475" i="97"/>
  <c r="K475" i="97"/>
  <c r="I475" i="97"/>
  <c r="E475" i="97"/>
  <c r="N474" i="97"/>
  <c r="M474" i="97"/>
  <c r="L474" i="97"/>
  <c r="K474" i="97"/>
  <c r="I474" i="97"/>
  <c r="E474" i="97"/>
  <c r="S471" i="97"/>
  <c r="L466" i="97"/>
  <c r="H466" i="97"/>
  <c r="D466" i="97"/>
  <c r="L465" i="97"/>
  <c r="H465" i="97"/>
  <c r="D465" i="97"/>
  <c r="L464" i="97"/>
  <c r="H464" i="97"/>
  <c r="D464" i="97"/>
  <c r="L463" i="97"/>
  <c r="H463" i="97"/>
  <c r="L462" i="97"/>
  <c r="H462" i="97"/>
  <c r="L461" i="97"/>
  <c r="H461" i="97"/>
  <c r="L460" i="97"/>
  <c r="H460" i="97"/>
  <c r="L459" i="97"/>
  <c r="H459" i="97"/>
  <c r="P458" i="97"/>
  <c r="N458" i="97"/>
  <c r="L458" i="97"/>
  <c r="H458" i="97"/>
  <c r="P457" i="97"/>
  <c r="N457" i="97"/>
  <c r="L457" i="97"/>
  <c r="H457" i="97"/>
  <c r="P456" i="97"/>
  <c r="N456" i="97"/>
  <c r="L456" i="97"/>
  <c r="H456" i="97"/>
  <c r="S453" i="97"/>
  <c r="L450" i="97"/>
  <c r="I450" i="97"/>
  <c r="E450" i="97"/>
  <c r="B450" i="97"/>
  <c r="L449" i="97"/>
  <c r="E449" i="97"/>
  <c r="B449" i="97"/>
  <c r="L448" i="97"/>
  <c r="E448" i="97"/>
  <c r="B448" i="97"/>
  <c r="L447" i="97"/>
  <c r="H447" i="97"/>
  <c r="E447" i="97"/>
  <c r="B447" i="97"/>
  <c r="L446" i="97"/>
  <c r="F446" i="97"/>
  <c r="B446" i="97"/>
  <c r="L445" i="97"/>
  <c r="F445" i="97"/>
  <c r="E445" i="97"/>
  <c r="B445" i="97"/>
  <c r="L444" i="97"/>
  <c r="F444" i="97"/>
  <c r="B444" i="97"/>
  <c r="L443" i="97"/>
  <c r="F443" i="97"/>
  <c r="E443" i="97"/>
  <c r="B443" i="97"/>
  <c r="L442" i="97"/>
  <c r="H442" i="97"/>
  <c r="B442" i="97"/>
  <c r="L441" i="97"/>
  <c r="I441" i="97"/>
  <c r="E441" i="97"/>
  <c r="B441" i="97"/>
  <c r="L440" i="97"/>
  <c r="I440" i="97"/>
  <c r="E440" i="97"/>
  <c r="B440" i="97"/>
  <c r="S438" i="97"/>
  <c r="L438" i="97"/>
  <c r="A431" i="97"/>
  <c r="N428" i="97"/>
  <c r="M428" i="97"/>
  <c r="L428" i="97"/>
  <c r="K428" i="97"/>
  <c r="J428" i="97"/>
  <c r="I428" i="97"/>
  <c r="E428" i="97"/>
  <c r="N427" i="97"/>
  <c r="M427" i="97"/>
  <c r="L427" i="97"/>
  <c r="K427" i="97"/>
  <c r="J427" i="97"/>
  <c r="I427" i="97"/>
  <c r="E427" i="97"/>
  <c r="N426" i="97"/>
  <c r="M426" i="97"/>
  <c r="L426" i="97"/>
  <c r="K426" i="97"/>
  <c r="J426" i="97"/>
  <c r="I426" i="97"/>
  <c r="E426" i="97"/>
  <c r="N425" i="97"/>
  <c r="M425" i="97"/>
  <c r="L425" i="97"/>
  <c r="K425" i="97"/>
  <c r="J425" i="97"/>
  <c r="I425" i="97"/>
  <c r="E425" i="97"/>
  <c r="N424" i="97"/>
  <c r="M424" i="97"/>
  <c r="L424" i="97"/>
  <c r="K424" i="97"/>
  <c r="J424" i="97"/>
  <c r="I424" i="97"/>
  <c r="E424" i="97"/>
  <c r="N423" i="97"/>
  <c r="M423" i="97"/>
  <c r="L423" i="97"/>
  <c r="K423" i="97"/>
  <c r="J423" i="97"/>
  <c r="I423" i="97"/>
  <c r="E423" i="97"/>
  <c r="N422" i="97"/>
  <c r="M422" i="97"/>
  <c r="L422" i="97"/>
  <c r="K422" i="97"/>
  <c r="J422" i="97"/>
  <c r="I422" i="97"/>
  <c r="E422" i="97"/>
  <c r="N421" i="97"/>
  <c r="M421" i="97"/>
  <c r="L421" i="97"/>
  <c r="K421" i="97"/>
  <c r="J421" i="97"/>
  <c r="I421" i="97"/>
  <c r="E421" i="97"/>
  <c r="N420" i="97"/>
  <c r="M420" i="97"/>
  <c r="L420" i="97"/>
  <c r="K420" i="97"/>
  <c r="J420" i="97"/>
  <c r="I420" i="97"/>
  <c r="E420" i="97"/>
  <c r="N419" i="97"/>
  <c r="M419" i="97"/>
  <c r="L419" i="97"/>
  <c r="K419" i="97"/>
  <c r="J419" i="97"/>
  <c r="I419" i="97"/>
  <c r="E419" i="97"/>
  <c r="N418" i="97"/>
  <c r="M418" i="97"/>
  <c r="L418" i="97"/>
  <c r="K418" i="97"/>
  <c r="J418" i="97"/>
  <c r="I418" i="97"/>
  <c r="E418" i="97"/>
  <c r="N417" i="97"/>
  <c r="M417" i="97"/>
  <c r="L417" i="97"/>
  <c r="K417" i="97"/>
  <c r="J417" i="97"/>
  <c r="I417" i="97"/>
  <c r="E417" i="97"/>
  <c r="N416" i="97"/>
  <c r="M416" i="97"/>
  <c r="L416" i="97"/>
  <c r="K416" i="97"/>
  <c r="J416" i="97"/>
  <c r="I416" i="97"/>
  <c r="E416" i="97"/>
  <c r="I407" i="97"/>
  <c r="H407" i="97"/>
  <c r="C407" i="97"/>
  <c r="I406" i="97"/>
  <c r="H406" i="97"/>
  <c r="I405" i="97"/>
  <c r="H405" i="97"/>
  <c r="I404" i="97"/>
  <c r="H404" i="97"/>
  <c r="I403" i="97"/>
  <c r="H403" i="97"/>
  <c r="I402" i="97"/>
  <c r="H402" i="97"/>
  <c r="I401" i="97"/>
  <c r="H401" i="97"/>
  <c r="I400" i="97"/>
  <c r="H400"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M367" i="97"/>
  <c r="J367" i="97"/>
  <c r="H367" i="97"/>
  <c r="Q366" i="97"/>
  <c r="H366" i="97"/>
  <c r="Q365" i="97"/>
  <c r="L365" i="97"/>
  <c r="H365"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22" i="97"/>
  <c r="J322" i="97"/>
  <c r="H322" i="97"/>
  <c r="Q321" i="97"/>
  <c r="L321" i="97"/>
  <c r="H321" i="97"/>
  <c r="Q320" i="97"/>
  <c r="L320" i="97"/>
  <c r="H320" i="97"/>
  <c r="Q319" i="97"/>
  <c r="H319" i="97"/>
  <c r="Q318" i="97"/>
  <c r="H318"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96" i="97"/>
  <c r="J296" i="97"/>
  <c r="H296" i="97"/>
  <c r="Q295" i="97"/>
  <c r="L295" i="97"/>
  <c r="H295" i="97"/>
  <c r="Q294" i="97"/>
  <c r="L294" i="97"/>
  <c r="H294" i="97"/>
  <c r="Q293" i="97"/>
  <c r="H293" i="97"/>
  <c r="Q292" i="97"/>
  <c r="H292"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4" i="97"/>
  <c r="J264" i="97"/>
  <c r="H264" i="97"/>
  <c r="Q263" i="97"/>
  <c r="L263" i="97"/>
  <c r="H263" i="97"/>
  <c r="Q262" i="97"/>
  <c r="L262" i="97"/>
  <c r="H262" i="97"/>
  <c r="Q261" i="97"/>
  <c r="H261" i="97"/>
  <c r="Q260" i="97"/>
  <c r="H260" i="97"/>
  <c r="L255" i="97"/>
  <c r="J255" i="97"/>
  <c r="H255" i="97"/>
  <c r="Q254" i="97"/>
  <c r="M254" i="97"/>
  <c r="J254" i="97"/>
  <c r="H254" i="97"/>
  <c r="Q253" i="97"/>
  <c r="L253" i="97"/>
  <c r="H253" i="97"/>
  <c r="Q252" i="97"/>
  <c r="H252" i="97"/>
  <c r="Q251" i="97"/>
  <c r="H251" i="97"/>
  <c r="O249" i="97"/>
  <c r="A247" i="97"/>
  <c r="A242" i="97"/>
  <c r="I239" i="97"/>
  <c r="I238" i="97"/>
  <c r="I237" i="97"/>
  <c r="I235" i="97"/>
  <c r="O234" i="97"/>
  <c r="I234" i="97"/>
  <c r="O233" i="97"/>
  <c r="I233" i="97"/>
  <c r="O232" i="97"/>
  <c r="I232" i="97"/>
  <c r="P231" i="97"/>
  <c r="I231" i="97"/>
  <c r="P230" i="97"/>
  <c r="N230" i="97"/>
  <c r="I230" i="97"/>
  <c r="P229" i="97"/>
  <c r="I229" i="97"/>
  <c r="P228" i="97"/>
  <c r="I228" i="97"/>
  <c r="B223" i="97"/>
  <c r="L221" i="97"/>
  <c r="J221" i="97"/>
  <c r="I221" i="97"/>
  <c r="H221" i="97"/>
  <c r="G221" i="97"/>
  <c r="F221" i="97"/>
  <c r="C221" i="97"/>
  <c r="L220" i="97"/>
  <c r="J220" i="97"/>
  <c r="I220" i="97"/>
  <c r="H220" i="97"/>
  <c r="G220" i="97"/>
  <c r="F220" i="97"/>
  <c r="L219" i="97"/>
  <c r="J219" i="97"/>
  <c r="I219" i="97"/>
  <c r="H219" i="97"/>
  <c r="G219" i="97"/>
  <c r="F219" i="97"/>
  <c r="L218" i="97"/>
  <c r="J218" i="97"/>
  <c r="I218" i="97"/>
  <c r="H218" i="97"/>
  <c r="G218" i="97"/>
  <c r="F218" i="97"/>
  <c r="L217" i="97"/>
  <c r="J217" i="97"/>
  <c r="I217" i="97"/>
  <c r="H217" i="97"/>
  <c r="G217" i="97"/>
  <c r="F217" i="97"/>
  <c r="O211" i="97"/>
  <c r="L211" i="97"/>
  <c r="O210" i="97"/>
  <c r="L210" i="97"/>
  <c r="O209" i="97"/>
  <c r="L209" i="97"/>
  <c r="I206" i="97"/>
  <c r="P204" i="97"/>
  <c r="L204" i="97"/>
  <c r="I204" i="97"/>
  <c r="P203" i="97"/>
  <c r="L203" i="97"/>
  <c r="I203" i="97"/>
  <c r="P201" i="97"/>
  <c r="L201" i="97"/>
  <c r="L199" i="97"/>
  <c r="I199" i="97"/>
  <c r="J198" i="97"/>
  <c r="D198" i="97"/>
  <c r="N197" i="97"/>
  <c r="J197" i="97"/>
  <c r="G197" i="97"/>
  <c r="D197" i="97"/>
  <c r="N196" i="97"/>
  <c r="J196" i="97"/>
  <c r="D196" i="97"/>
  <c r="N195" i="97"/>
  <c r="D195" i="97"/>
  <c r="N193" i="97"/>
  <c r="I193" i="97"/>
  <c r="N192" i="97"/>
  <c r="N191" i="97"/>
  <c r="I190" i="97"/>
  <c r="I185" i="97"/>
  <c r="I183" i="97"/>
  <c r="O182" i="97"/>
  <c r="I182" i="97"/>
  <c r="I180" i="97"/>
  <c r="O179" i="97"/>
  <c r="I179" i="97"/>
  <c r="G179" i="97"/>
  <c r="O178" i="97"/>
  <c r="I178" i="97"/>
  <c r="O177" i="97"/>
  <c r="I177" i="97"/>
  <c r="O176" i="97"/>
  <c r="I176" i="97"/>
  <c r="O175" i="97"/>
  <c r="I175" i="97"/>
  <c r="I173" i="97"/>
  <c r="O172" i="97"/>
  <c r="I172" i="97"/>
  <c r="G172" i="97"/>
  <c r="O171" i="97"/>
  <c r="I171" i="97"/>
  <c r="O170" i="97"/>
  <c r="I170" i="97"/>
  <c r="O169" i="97"/>
  <c r="I169" i="97"/>
  <c r="O168" i="97"/>
  <c r="I168" i="97"/>
  <c r="I167" i="97"/>
  <c r="I166" i="97"/>
  <c r="M164" i="97"/>
  <c r="J164" i="97"/>
  <c r="F164" i="97"/>
  <c r="C164" i="97"/>
  <c r="M163" i="97"/>
  <c r="J163" i="97"/>
  <c r="F163" i="97"/>
  <c r="C163" i="97"/>
  <c r="M162" i="97"/>
  <c r="J162" i="97"/>
  <c r="F162" i="97"/>
  <c r="C162" i="97"/>
  <c r="M161" i="97"/>
  <c r="J161" i="97"/>
  <c r="F161" i="97"/>
  <c r="C161" i="97"/>
  <c r="M160" i="97"/>
  <c r="J160" i="97"/>
  <c r="F160" i="97"/>
  <c r="C160" i="97"/>
  <c r="M159" i="97"/>
  <c r="J159" i="97"/>
  <c r="F159" i="97"/>
  <c r="C159" i="97"/>
  <c r="P154" i="97"/>
  <c r="M154" i="97"/>
  <c r="J154" i="97"/>
  <c r="I154" i="97"/>
  <c r="F154" i="97"/>
  <c r="C154" i="97"/>
  <c r="P153" i="97"/>
  <c r="M153" i="97"/>
  <c r="J153" i="97"/>
  <c r="I153" i="97"/>
  <c r="F153" i="97"/>
  <c r="C153" i="97"/>
  <c r="P152" i="97"/>
  <c r="M152" i="97"/>
  <c r="J152" i="97"/>
  <c r="I152" i="97"/>
  <c r="F152" i="97"/>
  <c r="C152" i="97"/>
  <c r="P151" i="97"/>
  <c r="M151" i="97"/>
  <c r="J151" i="97"/>
  <c r="I151" i="97"/>
  <c r="F151" i="97"/>
  <c r="C151" i="97"/>
  <c r="P150" i="97"/>
  <c r="M150" i="97"/>
  <c r="J150" i="97"/>
  <c r="I150" i="97"/>
  <c r="F150" i="97"/>
  <c r="C150" i="97"/>
  <c r="P149" i="97"/>
  <c r="M149" i="97"/>
  <c r="J149" i="97"/>
  <c r="I149" i="97"/>
  <c r="F149" i="97"/>
  <c r="C149" i="97"/>
  <c r="H145" i="97"/>
  <c r="H143" i="97"/>
  <c r="L137" i="97"/>
  <c r="I137" i="97"/>
  <c r="E137" i="97"/>
  <c r="M136" i="97"/>
  <c r="I136" i="97"/>
  <c r="E136" i="97"/>
  <c r="O135" i="97"/>
  <c r="K135" i="97"/>
  <c r="I135" i="97"/>
  <c r="E135" i="97"/>
  <c r="O134" i="97"/>
  <c r="E134" i="97"/>
  <c r="O133" i="97"/>
  <c r="E133" i="97"/>
  <c r="H129" i="97"/>
  <c r="H127" i="97"/>
  <c r="P125" i="97"/>
  <c r="H125" i="97"/>
  <c r="P124" i="97"/>
  <c r="M124" i="97"/>
  <c r="H124" i="97"/>
  <c r="P120" i="97"/>
  <c r="K118" i="97"/>
  <c r="P114" i="97"/>
  <c r="P112" i="97"/>
  <c r="P111" i="97"/>
  <c r="P109" i="97"/>
  <c r="O109" i="97"/>
  <c r="M109" i="97"/>
  <c r="O108" i="97"/>
  <c r="M108" i="97"/>
  <c r="M106" i="97"/>
  <c r="H106" i="97"/>
  <c r="P104" i="97"/>
  <c r="O104" i="97"/>
  <c r="M104" i="97"/>
  <c r="O103" i="97"/>
  <c r="M103" i="97"/>
  <c r="M101" i="97"/>
  <c r="H101" i="97"/>
  <c r="H97" i="97"/>
  <c r="I94" i="97"/>
  <c r="H94" i="97"/>
  <c r="P93" i="97"/>
  <c r="I93" i="97"/>
  <c r="H93" i="97"/>
  <c r="H83" i="97"/>
  <c r="P81" i="97"/>
  <c r="I74" i="97"/>
  <c r="F71" i="97"/>
  <c r="J69" i="97"/>
  <c r="H69" i="97"/>
  <c r="F69" i="97"/>
  <c r="J68" i="97"/>
  <c r="H68" i="97"/>
  <c r="F68" i="97"/>
  <c r="F65" i="97"/>
  <c r="P64" i="97"/>
  <c r="N64" i="97"/>
  <c r="F64" i="97"/>
  <c r="O63" i="97"/>
  <c r="J63" i="97"/>
  <c r="F63" i="97"/>
  <c r="O62" i="97"/>
  <c r="J62" i="97"/>
  <c r="G62" i="97"/>
  <c r="P61" i="97"/>
  <c r="N61" i="97"/>
  <c r="F61" i="97"/>
  <c r="O60" i="97"/>
  <c r="F60" i="97"/>
  <c r="O59" i="97"/>
  <c r="F59" i="97"/>
  <c r="O55" i="97"/>
  <c r="F55" i="97"/>
  <c r="O54" i="97"/>
  <c r="M54" i="97"/>
  <c r="J54" i="97"/>
  <c r="F54" i="97"/>
  <c r="J53" i="97"/>
  <c r="F53" i="97"/>
  <c r="F52" i="97"/>
  <c r="N51" i="97"/>
  <c r="J51" i="97"/>
  <c r="F51" i="97"/>
  <c r="O49" i="97"/>
  <c r="F49" i="97"/>
  <c r="O48" i="97"/>
  <c r="M48" i="97"/>
  <c r="J48" i="97"/>
  <c r="F48" i="97"/>
  <c r="J47" i="97"/>
  <c r="F47" i="97"/>
  <c r="F46" i="97"/>
  <c r="N45" i="97"/>
  <c r="J45" i="97"/>
  <c r="F45" i="97"/>
  <c r="N41" i="97"/>
  <c r="F41" i="97"/>
  <c r="P40" i="97"/>
  <c r="L40" i="97"/>
  <c r="F40" i="97"/>
  <c r="N39" i="97"/>
  <c r="F39" i="97"/>
  <c r="O37" i="97"/>
  <c r="O36" i="97"/>
  <c r="F36" i="97"/>
  <c r="O34" i="97"/>
  <c r="O31" i="97"/>
  <c r="B31" i="97"/>
  <c r="A26" i="97"/>
  <c r="A5" i="97"/>
  <c r="A2" i="97"/>
  <c r="S436" i="97" s="1"/>
  <c r="F103" i="92"/>
  <c r="F101" i="92"/>
  <c r="F95" i="92"/>
  <c r="I65" i="92"/>
  <c r="D53" i="92"/>
  <c r="H52" i="92"/>
  <c r="C52" i="92"/>
  <c r="I9" i="92"/>
  <c r="E69" i="95"/>
  <c r="D69" i="95"/>
  <c r="B69" i="95"/>
  <c r="A69" i="95"/>
  <c r="E68" i="95"/>
  <c r="D68" i="95"/>
  <c r="B68" i="95"/>
  <c r="A68" i="95"/>
  <c r="E67" i="95"/>
  <c r="D67" i="95"/>
  <c r="B67" i="95"/>
  <c r="A67" i="95"/>
  <c r="E66" i="95"/>
  <c r="D66" i="95"/>
  <c r="B66" i="95"/>
  <c r="A66" i="95"/>
  <c r="E65" i="95"/>
  <c r="D65" i="95"/>
  <c r="B65" i="95"/>
  <c r="A65" i="95"/>
  <c r="E64" i="95"/>
  <c r="D64" i="95"/>
  <c r="B64" i="95"/>
  <c r="A64" i="95"/>
  <c r="E63" i="95"/>
  <c r="D63" i="95"/>
  <c r="B63" i="95"/>
  <c r="A63" i="95"/>
  <c r="E62" i="95"/>
  <c r="D62" i="95"/>
  <c r="B62" i="95"/>
  <c r="A62" i="95"/>
  <c r="E61" i="95"/>
  <c r="D61" i="95"/>
  <c r="B61" i="95"/>
  <c r="A61" i="95"/>
  <c r="E60" i="95"/>
  <c r="D60" i="95"/>
  <c r="B60" i="95"/>
  <c r="A60" i="95"/>
  <c r="E59" i="95"/>
  <c r="D59" i="95"/>
  <c r="B59" i="95"/>
  <c r="A59" i="95"/>
  <c r="E58" i="95"/>
  <c r="D58" i="95"/>
  <c r="B58" i="95"/>
  <c r="A58" i="95"/>
  <c r="E57" i="95"/>
  <c r="D57" i="95"/>
  <c r="B57" i="95"/>
  <c r="A57" i="95"/>
  <c r="E56" i="95"/>
  <c r="D56" i="95"/>
  <c r="B56" i="95"/>
  <c r="A56" i="95"/>
  <c r="E55" i="95"/>
  <c r="D55" i="95"/>
  <c r="B55" i="95"/>
  <c r="A55" i="95"/>
  <c r="E54" i="95"/>
  <c r="D54" i="95"/>
  <c r="B54" i="95"/>
  <c r="A54" i="95"/>
  <c r="E53" i="95"/>
  <c r="D53" i="95"/>
  <c r="B53" i="95"/>
  <c r="A53" i="95"/>
  <c r="E52" i="95"/>
  <c r="D52" i="95"/>
  <c r="B52" i="95"/>
  <c r="A52" i="95"/>
  <c r="E51" i="95"/>
  <c r="D51" i="95"/>
  <c r="B51" i="95"/>
  <c r="A51" i="95"/>
  <c r="E50" i="95"/>
  <c r="D50" i="95"/>
  <c r="B50" i="95"/>
  <c r="A50" i="95"/>
  <c r="E49" i="95"/>
  <c r="D49" i="95"/>
  <c r="B49" i="95"/>
  <c r="A49" i="95"/>
  <c r="E48" i="95"/>
  <c r="D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L11" i="95"/>
  <c r="G11" i="91"/>
  <c r="K67" i="93"/>
  <c r="C63" i="93"/>
  <c r="D63" i="93" s="1"/>
  <c r="I63" i="93" s="1"/>
  <c r="C62" i="93"/>
  <c r="D62" i="93" s="1"/>
  <c r="I62" i="93" s="1"/>
  <c r="C61" i="93"/>
  <c r="D61" i="93" s="1"/>
  <c r="I61" i="93" s="1"/>
  <c r="C60" i="93"/>
  <c r="D60" i="93" s="1"/>
  <c r="I60" i="93" s="1"/>
  <c r="C59" i="93"/>
  <c r="D59" i="93" s="1"/>
  <c r="I59" i="93" s="1"/>
  <c r="C58" i="93"/>
  <c r="K53" i="93"/>
  <c r="J19" i="93"/>
  <c r="J20" i="93" s="1"/>
  <c r="D3" i="93"/>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22" i="90"/>
  <c r="A221" i="90"/>
  <c r="A220" i="90"/>
  <c r="A219" i="90"/>
  <c r="A218" i="90"/>
  <c r="A217" i="90"/>
  <c r="A216" i="90"/>
  <c r="A215" i="90"/>
  <c r="A205" i="90"/>
  <c r="A202" i="90"/>
  <c r="F199" i="90"/>
  <c r="E186" i="90"/>
  <c r="E185" i="90"/>
  <c r="E165" i="90"/>
  <c r="C160" i="90"/>
  <c r="D102" i="90"/>
  <c r="E97" i="90"/>
  <c r="E93" i="90"/>
  <c r="E82" i="90"/>
  <c r="D34" i="90"/>
  <c r="C21" i="90"/>
  <c r="C16" i="90"/>
  <c r="C5" i="90"/>
  <c r="F77" i="89"/>
  <c r="F75" i="89"/>
  <c r="E173" i="90" s="1"/>
  <c r="F73" i="89"/>
  <c r="E168" i="90" s="1"/>
  <c r="F58" i="89"/>
  <c r="C48" i="90" s="1"/>
  <c r="E50" i="89"/>
  <c r="G49" i="89"/>
  <c r="E49" i="89"/>
  <c r="E47" i="89"/>
  <c r="F39" i="89"/>
  <c r="D80" i="90" s="1"/>
  <c r="F30" i="89"/>
  <c r="D63" i="90" s="1"/>
  <c r="E28" i="89"/>
  <c r="E27" i="89"/>
  <c r="E24" i="89"/>
  <c r="E23" i="89"/>
  <c r="E22" i="89"/>
  <c r="E21" i="89"/>
  <c r="E20" i="89"/>
  <c r="E19" i="89"/>
  <c r="C139" i="90" s="1"/>
  <c r="E17" i="89"/>
  <c r="C31" i="90" s="1"/>
  <c r="E16" i="89"/>
  <c r="C30" i="90" s="1"/>
  <c r="F48" i="92" s="1"/>
  <c r="E13" i="89"/>
  <c r="E12" i="89"/>
  <c r="C23" i="90" s="1"/>
  <c r="E11" i="89"/>
  <c r="C25" i="90" s="1"/>
  <c r="E10" i="89"/>
  <c r="C15" i="90" s="1"/>
  <c r="E9" i="89"/>
  <c r="H7" i="92" s="1"/>
  <c r="E8" i="89"/>
  <c r="C19" i="90" s="1"/>
  <c r="C144" i="90" s="1"/>
  <c r="E7" i="89"/>
  <c r="C18" i="90" s="1"/>
  <c r="C143" i="90" s="1"/>
  <c r="J5" i="87"/>
  <c r="G5" i="87"/>
  <c r="D5" i="87"/>
  <c r="A5" i="87"/>
  <c r="G56" i="86"/>
  <c r="H54" i="86"/>
  <c r="G54" i="86"/>
  <c r="F54" i="86"/>
  <c r="E54" i="86"/>
  <c r="D54" i="86"/>
  <c r="H49" i="86"/>
  <c r="G49" i="86"/>
  <c r="F49" i="86"/>
  <c r="E49" i="86"/>
  <c r="D49" i="86"/>
  <c r="D14" i="86"/>
  <c r="C14" i="86"/>
  <c r="O6" i="86"/>
  <c r="O22" i="86" s="1"/>
  <c r="E6" i="86"/>
  <c r="K5" i="86"/>
  <c r="E5" i="86"/>
  <c r="H4" i="86"/>
  <c r="E56" i="86" s="1"/>
  <c r="E4" i="86"/>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C33" i="84"/>
  <c r="B33" i="84"/>
  <c r="C32" i="84"/>
  <c r="B32" i="84"/>
  <c r="C31" i="84"/>
  <c r="B31" i="84"/>
  <c r="C30" i="84"/>
  <c r="C29" i="84"/>
  <c r="K26" i="84" s="1"/>
  <c r="C25" i="84"/>
  <c r="B25" i="84"/>
  <c r="E16" i="84"/>
  <c r="F19" i="85" s="1"/>
  <c r="C16" i="84"/>
  <c r="D14" i="84"/>
  <c r="C14" i="84"/>
  <c r="F17" i="85" s="1"/>
  <c r="H12" i="84"/>
  <c r="C12" i="84"/>
  <c r="M11" i="84"/>
  <c r="G132" i="90" s="1"/>
  <c r="K11" i="84"/>
  <c r="D132" i="90" s="1"/>
  <c r="H11" i="84"/>
  <c r="C132" i="90" s="1"/>
  <c r="E11" i="84"/>
  <c r="E58" i="90" s="1"/>
  <c r="C11" i="84"/>
  <c r="C58" i="90" s="1"/>
  <c r="K10" i="84"/>
  <c r="C148" i="90" s="1"/>
  <c r="H10" i="84"/>
  <c r="C146" i="90" s="1"/>
  <c r="C10" i="84"/>
  <c r="C56" i="90" s="1"/>
  <c r="H9" i="84"/>
  <c r="E5" i="89" s="1"/>
  <c r="E8" i="84"/>
  <c r="C8" i="84"/>
  <c r="A210" i="85"/>
  <c r="Q67" i="85"/>
  <c r="O67" i="85"/>
  <c r="N67" i="85"/>
  <c r="L67" i="85"/>
  <c r="F15" i="85"/>
  <c r="A24" i="83"/>
  <c r="A20" i="83"/>
  <c r="D16" i="83"/>
  <c r="A13" i="83"/>
  <c r="A12" i="83"/>
  <c r="A11" i="83"/>
  <c r="J358" i="72"/>
  <c r="P350" i="72"/>
  <c r="P2069" i="97" s="1"/>
  <c r="O350" i="72"/>
  <c r="O2069" i="97" s="1"/>
  <c r="L2069" i="97" s="1"/>
  <c r="Q341" i="72"/>
  <c r="Q334" i="72"/>
  <c r="L332" i="72"/>
  <c r="R330" i="72"/>
  <c r="P330" i="72"/>
  <c r="P2049" i="97" s="1"/>
  <c r="O330" i="72"/>
  <c r="L321" i="72"/>
  <c r="M315" i="72"/>
  <c r="J315" i="72"/>
  <c r="Q301" i="72"/>
  <c r="L301" i="72"/>
  <c r="S296" i="72"/>
  <c r="R296" i="72"/>
  <c r="M319" i="72" s="1"/>
  <c r="L296" i="72"/>
  <c r="P294" i="72"/>
  <c r="P2013" i="97" s="1"/>
  <c r="O294" i="72"/>
  <c r="O2013" i="97" s="1"/>
  <c r="G277" i="72"/>
  <c r="K271" i="72"/>
  <c r="G271" i="72"/>
  <c r="P269" i="72"/>
  <c r="P1988" i="97" s="1"/>
  <c r="P261" i="72"/>
  <c r="P1980" i="97" s="1"/>
  <c r="O261" i="72"/>
  <c r="P257" i="72"/>
  <c r="P1976" i="97" s="1"/>
  <c r="O257" i="72"/>
  <c r="Q250" i="72"/>
  <c r="Q249" i="72"/>
  <c r="Q248" i="72"/>
  <c r="P247" i="72"/>
  <c r="P1966" i="97" s="1"/>
  <c r="O247" i="72"/>
  <c r="O1966" i="97" s="1"/>
  <c r="Q231" i="72"/>
  <c r="Q230" i="72"/>
  <c r="Q223" i="72"/>
  <c r="Q222" i="72"/>
  <c r="K221" i="72"/>
  <c r="P220" i="72"/>
  <c r="P1939" i="97" s="1"/>
  <c r="O220" i="72"/>
  <c r="O1939" i="97" s="1"/>
  <c r="N209" i="72"/>
  <c r="Q205" i="72"/>
  <c r="Q201" i="72"/>
  <c r="P199" i="72"/>
  <c r="P1918" i="97" s="1"/>
  <c r="O199" i="72"/>
  <c r="Q178" i="72"/>
  <c r="L178" i="72"/>
  <c r="Q176" i="72"/>
  <c r="Q175" i="72"/>
  <c r="Q174" i="72"/>
  <c r="V171" i="72"/>
  <c r="Q171" i="72"/>
  <c r="V170" i="72"/>
  <c r="Q170" i="72"/>
  <c r="Q166" i="72"/>
  <c r="P165" i="72"/>
  <c r="P1884" i="97" s="1"/>
  <c r="O165" i="72"/>
  <c r="L165" i="72" s="1"/>
  <c r="Q147" i="72"/>
  <c r="H147" i="72"/>
  <c r="Q138" i="72"/>
  <c r="Q136" i="72"/>
  <c r="Q135" i="72"/>
  <c r="Q134" i="72"/>
  <c r="M128" i="72"/>
  <c r="P98" i="72"/>
  <c r="P1817" i="97" s="1"/>
  <c r="O98" i="72"/>
  <c r="O1817" i="97" s="1"/>
  <c r="Q90" i="72"/>
  <c r="Q89" i="72"/>
  <c r="L89" i="72"/>
  <c r="I86" i="72"/>
  <c r="O70" i="72"/>
  <c r="J70" i="72"/>
  <c r="P63" i="72" s="1"/>
  <c r="F70" i="72"/>
  <c r="P67" i="72"/>
  <c r="K58" i="72"/>
  <c r="J58" i="72"/>
  <c r="I58" i="72"/>
  <c r="H58" i="72"/>
  <c r="G58" i="72"/>
  <c r="M56" i="72"/>
  <c r="J108" i="72" s="1"/>
  <c r="P40" i="72"/>
  <c r="P1759" i="97" s="1"/>
  <c r="P39" i="72"/>
  <c r="P38" i="72"/>
  <c r="P1757" i="97" s="1"/>
  <c r="P37" i="72"/>
  <c r="P1756" i="97" s="1"/>
  <c r="P36" i="72"/>
  <c r="P1755" i="97" s="1"/>
  <c r="P35" i="72"/>
  <c r="P1754" i="97" s="1"/>
  <c r="M32" i="72"/>
  <c r="F29" i="72"/>
  <c r="F1748" i="97" s="1"/>
  <c r="E29" i="72"/>
  <c r="E1748" i="97" s="1"/>
  <c r="F28" i="72"/>
  <c r="F1747" i="97" s="1"/>
  <c r="F27" i="72"/>
  <c r="F1746" i="97" s="1"/>
  <c r="E27" i="72"/>
  <c r="E1746" i="97" s="1"/>
  <c r="F26" i="72"/>
  <c r="F1745" i="97" s="1"/>
  <c r="E26" i="72"/>
  <c r="E1745" i="97" s="1"/>
  <c r="F25" i="72"/>
  <c r="F1744" i="97" s="1"/>
  <c r="E25" i="72"/>
  <c r="E1744" i="97" s="1"/>
  <c r="F24" i="72"/>
  <c r="F1743" i="97" s="1"/>
  <c r="E24" i="72"/>
  <c r="E1743" i="97" s="1"/>
  <c r="F23" i="72"/>
  <c r="F1742" i="97" s="1"/>
  <c r="F22" i="72"/>
  <c r="F1741" i="97" s="1"/>
  <c r="F21" i="72"/>
  <c r="F1740" i="97" s="1"/>
  <c r="F20" i="72"/>
  <c r="F1739" i="97" s="1"/>
  <c r="F19" i="72"/>
  <c r="F1738" i="97" s="1"/>
  <c r="E19" i="72"/>
  <c r="E1738" i="97" s="1"/>
  <c r="Q18" i="72"/>
  <c r="F18" i="72"/>
  <c r="F1737" i="97" s="1"/>
  <c r="F17" i="72"/>
  <c r="F1736" i="97" s="1"/>
  <c r="E17" i="72"/>
  <c r="E1736" i="97" s="1"/>
  <c r="P16" i="72"/>
  <c r="P14" i="72" s="1"/>
  <c r="B6" i="72"/>
  <c r="N437" i="73"/>
  <c r="N436" i="73"/>
  <c r="I436" i="73"/>
  <c r="AG434" i="73"/>
  <c r="AF434" i="73"/>
  <c r="AE434" i="73" s="1"/>
  <c r="AD434" i="73" s="1"/>
  <c r="AC434" i="73" s="1"/>
  <c r="AB434" i="73" s="1"/>
  <c r="AA434" i="73" s="1"/>
  <c r="Z434" i="73" s="1"/>
  <c r="N434" i="73"/>
  <c r="N433" i="73"/>
  <c r="I433" i="73"/>
  <c r="AG432" i="73"/>
  <c r="AF432" i="73" s="1"/>
  <c r="AE432" i="73" s="1"/>
  <c r="AD432" i="73" s="1"/>
  <c r="AC432" i="73" s="1"/>
  <c r="AB432" i="73" s="1"/>
  <c r="AA432" i="73" s="1"/>
  <c r="Z432" i="73" s="1"/>
  <c r="N431" i="73"/>
  <c r="N430" i="73"/>
  <c r="I430" i="73"/>
  <c r="M399" i="73"/>
  <c r="N396" i="73"/>
  <c r="N379" i="73"/>
  <c r="N369" i="73"/>
  <c r="AG326" i="73"/>
  <c r="AF326" i="73" s="1"/>
  <c r="AE326" i="73" s="1"/>
  <c r="AD326" i="73" s="1"/>
  <c r="AC326" i="73" s="1"/>
  <c r="AB326" i="73" s="1"/>
  <c r="AA326" i="73" s="1"/>
  <c r="Z326" i="73" s="1"/>
  <c r="N324" i="73"/>
  <c r="AG323" i="73"/>
  <c r="AF323" i="73" s="1"/>
  <c r="AE323" i="73" s="1"/>
  <c r="AD323" i="73" s="1"/>
  <c r="AC323" i="73" s="1"/>
  <c r="AB323" i="73" s="1"/>
  <c r="AA323" i="73" s="1"/>
  <c r="Z323" i="73" s="1"/>
  <c r="N322" i="73"/>
  <c r="M322" i="73"/>
  <c r="L322" i="73" s="1"/>
  <c r="AG321" i="73"/>
  <c r="AF321" i="73" s="1"/>
  <c r="AE321" i="73" s="1"/>
  <c r="AD321" i="73" s="1"/>
  <c r="AC321" i="73" s="1"/>
  <c r="AB321" i="73" s="1"/>
  <c r="AA321" i="73" s="1"/>
  <c r="Z321" i="73" s="1"/>
  <c r="N321" i="73"/>
  <c r="L248" i="73"/>
  <c r="M241" i="73"/>
  <c r="K165" i="73"/>
  <c r="J165" i="73"/>
  <c r="I165" i="73"/>
  <c r="H165" i="73"/>
  <c r="F165" i="73"/>
  <c r="M95" i="73"/>
  <c r="K95" i="73"/>
  <c r="G75" i="73"/>
  <c r="J75" i="73" s="1"/>
  <c r="G74" i="73"/>
  <c r="J74" i="73" s="1"/>
  <c r="Q55" i="73"/>
  <c r="P55" i="73"/>
  <c r="A3" i="73"/>
  <c r="H3" i="73" s="1"/>
  <c r="R1" i="73"/>
  <c r="F136" i="74"/>
  <c r="F1232" i="97" s="1"/>
  <c r="E136" i="74"/>
  <c r="E1232" i="97" s="1"/>
  <c r="D136" i="74"/>
  <c r="D1232" i="97" s="1"/>
  <c r="C136" i="74"/>
  <c r="C1232" i="97" s="1"/>
  <c r="B136" i="74"/>
  <c r="B1232" i="97" s="1"/>
  <c r="F135" i="74"/>
  <c r="F1231" i="97" s="1"/>
  <c r="E135" i="74"/>
  <c r="E1231" i="97" s="1"/>
  <c r="D135" i="74"/>
  <c r="D1231" i="97" s="1"/>
  <c r="C135" i="74"/>
  <c r="C1231" i="97" s="1"/>
  <c r="B135" i="74"/>
  <c r="B1231" i="97" s="1"/>
  <c r="F134" i="74"/>
  <c r="F1230" i="97" s="1"/>
  <c r="E134" i="74"/>
  <c r="E1230" i="97" s="1"/>
  <c r="D134" i="74"/>
  <c r="D1230" i="97" s="1"/>
  <c r="C134" i="74"/>
  <c r="C1230" i="97" s="1"/>
  <c r="B134" i="74"/>
  <c r="B1230" i="97" s="1"/>
  <c r="K106" i="74"/>
  <c r="K1202" i="97" s="1"/>
  <c r="J106" i="74"/>
  <c r="J1202" i="97" s="1"/>
  <c r="I106" i="74"/>
  <c r="I1202" i="97" s="1"/>
  <c r="H106" i="74"/>
  <c r="H1202" i="97" s="1"/>
  <c r="G106" i="74"/>
  <c r="G1202" i="97" s="1"/>
  <c r="F106" i="74"/>
  <c r="F1202" i="97" s="1"/>
  <c r="E106" i="74"/>
  <c r="E1202" i="97" s="1"/>
  <c r="D106" i="74"/>
  <c r="D1202" i="97" s="1"/>
  <c r="C106" i="74"/>
  <c r="C1202" i="97" s="1"/>
  <c r="B106" i="74"/>
  <c r="B1202" i="97" s="1"/>
  <c r="K105" i="74"/>
  <c r="K1201" i="97" s="1"/>
  <c r="J105" i="74"/>
  <c r="J1201" i="97" s="1"/>
  <c r="I105" i="74"/>
  <c r="I1201" i="97" s="1"/>
  <c r="H105" i="74"/>
  <c r="H1201" i="97" s="1"/>
  <c r="G105" i="74"/>
  <c r="G1201" i="97" s="1"/>
  <c r="F105" i="74"/>
  <c r="F1201" i="97" s="1"/>
  <c r="E105" i="74"/>
  <c r="E1201" i="97" s="1"/>
  <c r="D105" i="74"/>
  <c r="D1201" i="97" s="1"/>
  <c r="C105" i="74"/>
  <c r="C1201" i="97" s="1"/>
  <c r="B105" i="74"/>
  <c r="B1201" i="97" s="1"/>
  <c r="K104" i="74"/>
  <c r="K1200" i="97" s="1"/>
  <c r="J104" i="74"/>
  <c r="J1200" i="97" s="1"/>
  <c r="I104" i="74"/>
  <c r="I1200" i="97" s="1"/>
  <c r="H104" i="74"/>
  <c r="H1200" i="97" s="1"/>
  <c r="G104" i="74"/>
  <c r="G1200" i="97" s="1"/>
  <c r="F104" i="74"/>
  <c r="F1200" i="97" s="1"/>
  <c r="E104" i="74"/>
  <c r="E1200" i="97" s="1"/>
  <c r="D104" i="74"/>
  <c r="D1200" i="97" s="1"/>
  <c r="C104" i="74"/>
  <c r="C1200" i="97" s="1"/>
  <c r="B104" i="74"/>
  <c r="B1200" i="97" s="1"/>
  <c r="A93" i="74"/>
  <c r="A123" i="74" s="1"/>
  <c r="K76" i="74"/>
  <c r="K1172" i="97" s="1"/>
  <c r="J76" i="74"/>
  <c r="J1172" i="97" s="1"/>
  <c r="I76" i="74"/>
  <c r="I1172" i="97" s="1"/>
  <c r="H76" i="74"/>
  <c r="H1172" i="97" s="1"/>
  <c r="K75" i="74"/>
  <c r="K1171" i="97" s="1"/>
  <c r="J75" i="74"/>
  <c r="J1171" i="97" s="1"/>
  <c r="I75" i="74"/>
  <c r="I1171" i="97" s="1"/>
  <c r="H75" i="74"/>
  <c r="H1171" i="97" s="1"/>
  <c r="G75" i="74"/>
  <c r="G1171" i="97" s="1"/>
  <c r="F75" i="74"/>
  <c r="F1171" i="97" s="1"/>
  <c r="E75" i="74"/>
  <c r="E1171" i="97" s="1"/>
  <c r="D75" i="74"/>
  <c r="D1171" i="97" s="1"/>
  <c r="C75" i="74"/>
  <c r="C1171" i="97" s="1"/>
  <c r="B75" i="74"/>
  <c r="B1171" i="97" s="1"/>
  <c r="K74" i="74"/>
  <c r="K1170" i="97" s="1"/>
  <c r="J74" i="74"/>
  <c r="I74" i="74"/>
  <c r="I1170" i="97" s="1"/>
  <c r="H74" i="74"/>
  <c r="G74" i="74"/>
  <c r="F74" i="74"/>
  <c r="E74" i="74"/>
  <c r="E1170" i="97" s="1"/>
  <c r="D74" i="74"/>
  <c r="C74" i="74"/>
  <c r="B74" i="74"/>
  <c r="B1170" i="97" s="1"/>
  <c r="K73" i="74"/>
  <c r="K1169" i="97" s="1"/>
  <c r="J73" i="74"/>
  <c r="I73" i="74"/>
  <c r="H73" i="74"/>
  <c r="G73" i="74"/>
  <c r="G1169" i="97" s="1"/>
  <c r="F73" i="74"/>
  <c r="E73" i="74"/>
  <c r="D73" i="74"/>
  <c r="C73" i="74"/>
  <c r="C1169" i="97" s="1"/>
  <c r="B73" i="74"/>
  <c r="A69" i="74"/>
  <c r="A100" i="74" s="1"/>
  <c r="A130" i="74" s="1"/>
  <c r="A61" i="74"/>
  <c r="A60" i="74"/>
  <c r="A92" i="74" s="1"/>
  <c r="A122" i="74" s="1"/>
  <c r="A59" i="74"/>
  <c r="A91" i="74" s="1"/>
  <c r="A121" i="74" s="1"/>
  <c r="A58" i="74"/>
  <c r="A90" i="74" s="1"/>
  <c r="A120" i="74" s="1"/>
  <c r="B44" i="74"/>
  <c r="K43" i="74"/>
  <c r="K1139" i="97" s="1"/>
  <c r="J43" i="74"/>
  <c r="J1139" i="97" s="1"/>
  <c r="I43" i="74"/>
  <c r="I1139" i="97" s="1"/>
  <c r="H43" i="74"/>
  <c r="H1139" i="97" s="1"/>
  <c r="G43" i="74"/>
  <c r="G1139" i="97" s="1"/>
  <c r="F43" i="74"/>
  <c r="F1139" i="97" s="1"/>
  <c r="E43" i="74"/>
  <c r="E1139" i="97" s="1"/>
  <c r="D43" i="74"/>
  <c r="D1139" i="97" s="1"/>
  <c r="C43" i="74"/>
  <c r="C1139" i="97" s="1"/>
  <c r="B43" i="74"/>
  <c r="B1139" i="97" s="1"/>
  <c r="K42" i="74"/>
  <c r="K1138" i="97" s="1"/>
  <c r="J42" i="74"/>
  <c r="I42" i="74"/>
  <c r="H42" i="74"/>
  <c r="H1138" i="97" s="1"/>
  <c r="G42" i="74"/>
  <c r="F42" i="74"/>
  <c r="E42" i="74"/>
  <c r="D42" i="74"/>
  <c r="C42" i="74"/>
  <c r="B42" i="74"/>
  <c r="K41" i="74"/>
  <c r="J41" i="74"/>
  <c r="I41" i="74"/>
  <c r="H41" i="74"/>
  <c r="G41" i="74"/>
  <c r="F41" i="74"/>
  <c r="F1137" i="97" s="1"/>
  <c r="E41" i="74"/>
  <c r="E1137" i="97" s="1"/>
  <c r="D41" i="74"/>
  <c r="C41" i="74"/>
  <c r="B41" i="74"/>
  <c r="B1137" i="97" s="1"/>
  <c r="A36" i="74"/>
  <c r="A68" i="74" s="1"/>
  <c r="A99" i="74" s="1"/>
  <c r="A129" i="74" s="1"/>
  <c r="A35" i="74"/>
  <c r="A67" i="74" s="1"/>
  <c r="A98" i="74" s="1"/>
  <c r="A128" i="74" s="1"/>
  <c r="A34" i="74"/>
  <c r="A66" i="74" s="1"/>
  <c r="A97" i="74" s="1"/>
  <c r="A127" i="74" s="1"/>
  <c r="B31" i="74"/>
  <c r="B1127" i="97" s="1"/>
  <c r="B24" i="74"/>
  <c r="B1120" i="97" s="1"/>
  <c r="R22" i="74"/>
  <c r="B22" i="74"/>
  <c r="R21" i="74"/>
  <c r="C14" i="74"/>
  <c r="C24" i="74" s="1"/>
  <c r="C1120" i="97" s="1"/>
  <c r="N12" i="74"/>
  <c r="C9" i="74"/>
  <c r="G7" i="74"/>
  <c r="N4" i="74"/>
  <c r="C4" i="74"/>
  <c r="Q248" i="75"/>
  <c r="L244" i="75"/>
  <c r="C61" i="84" s="1"/>
  <c r="E61" i="84" s="1"/>
  <c r="F244" i="75"/>
  <c r="C59" i="84" s="1"/>
  <c r="L237" i="75"/>
  <c r="C60" i="84" s="1"/>
  <c r="F233" i="75"/>
  <c r="L228" i="75"/>
  <c r="F224" i="75"/>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S179" i="75"/>
  <c r="S178" i="75"/>
  <c r="S176" i="75"/>
  <c r="S156" i="75"/>
  <c r="S146" i="75"/>
  <c r="S145" i="75"/>
  <c r="L145" i="75"/>
  <c r="S126" i="75"/>
  <c r="P123" i="75"/>
  <c r="O2055" i="97" s="1"/>
  <c r="P122" i="75"/>
  <c r="S112" i="75"/>
  <c r="S103" i="75"/>
  <c r="S102" i="75"/>
  <c r="S92" i="75"/>
  <c r="S69" i="75"/>
  <c r="S53" i="75"/>
  <c r="L53" i="75"/>
  <c r="L102" i="75" s="1"/>
  <c r="F50" i="75"/>
  <c r="E50" i="75"/>
  <c r="B50" i="75"/>
  <c r="J89" i="72" s="1"/>
  <c r="MU49" i="75"/>
  <c r="F49" i="75"/>
  <c r="E49" i="75"/>
  <c r="MT48" i="75"/>
  <c r="MS48" i="75"/>
  <c r="MR48" i="75"/>
  <c r="MQ48" i="75"/>
  <c r="MP48" i="75"/>
  <c r="MO48" i="75"/>
  <c r="MN48" i="75"/>
  <c r="MM48" i="75"/>
  <c r="ML48" i="75"/>
  <c r="MK48" i="75"/>
  <c r="MJ48" i="75"/>
  <c r="MI48" i="75"/>
  <c r="MH48" i="75"/>
  <c r="MG48" i="75"/>
  <c r="MF48" i="75"/>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LF48" i="75"/>
  <c r="LE48" i="75"/>
  <c r="LD48" i="75"/>
  <c r="LC48" i="75"/>
  <c r="LB48" i="75"/>
  <c r="LA48" i="75"/>
  <c r="KZ48" i="75"/>
  <c r="KY48" i="75"/>
  <c r="KX48" i="75"/>
  <c r="KW48" i="75"/>
  <c r="KV48" i="75"/>
  <c r="KU48" i="75"/>
  <c r="KT48" i="75"/>
  <c r="KS48" i="75"/>
  <c r="KR48" i="75"/>
  <c r="KQ48" i="75"/>
  <c r="KP48" i="75"/>
  <c r="KO48" i="75"/>
  <c r="KN48" i="75"/>
  <c r="KM48" i="75"/>
  <c r="KL48" i="75"/>
  <c r="KK48" i="75"/>
  <c r="KJ48" i="75"/>
  <c r="KI48" i="75"/>
  <c r="KH48" i="75"/>
  <c r="KG48" i="75"/>
  <c r="KF48" i="75"/>
  <c r="KE48" i="75"/>
  <c r="KD48" i="75"/>
  <c r="KC48" i="75"/>
  <c r="KB48" i="75"/>
  <c r="KA48" i="75"/>
  <c r="JZ48" i="75"/>
  <c r="JY48" i="75"/>
  <c r="JX48" i="75"/>
  <c r="JW48" i="75"/>
  <c r="JV48" i="75"/>
  <c r="JU48" i="75"/>
  <c r="JT48" i="75"/>
  <c r="JS48" i="75"/>
  <c r="JR48" i="75"/>
  <c r="JQ48" i="75"/>
  <c r="JP48" i="75"/>
  <c r="JO48" i="75"/>
  <c r="JN48" i="75"/>
  <c r="JM48" i="75"/>
  <c r="JL48" i="75"/>
  <c r="JK48" i="75"/>
  <c r="JJ48" i="75"/>
  <c r="JI48" i="75"/>
  <c r="JH48" i="75"/>
  <c r="JG48" i="75"/>
  <c r="JF48" i="75"/>
  <c r="JE48" i="75"/>
  <c r="JD48" i="75"/>
  <c r="JC48" i="75"/>
  <c r="JB48" i="75"/>
  <c r="JA48" i="75"/>
  <c r="IZ48" i="75"/>
  <c r="IY48" i="75"/>
  <c r="IX48" i="75"/>
  <c r="IW48" i="75"/>
  <c r="IV48" i="75"/>
  <c r="IU48" i="75"/>
  <c r="IT48" i="75"/>
  <c r="IS48" i="75"/>
  <c r="IR48" i="75"/>
  <c r="IQ48" i="75"/>
  <c r="IP48" i="75"/>
  <c r="IO48" i="75"/>
  <c r="IN48" i="75"/>
  <c r="IM48" i="75"/>
  <c r="IL48" i="75"/>
  <c r="IK48" i="75"/>
  <c r="IJ48" i="75"/>
  <c r="II48" i="75"/>
  <c r="IH48" i="75"/>
  <c r="IG48" i="75"/>
  <c r="IF48" i="75"/>
  <c r="IE48" i="75"/>
  <c r="ID48" i="75"/>
  <c r="IC48" i="75"/>
  <c r="IB48" i="75"/>
  <c r="IA48" i="75"/>
  <c r="HZ48" i="75"/>
  <c r="HY48" i="75"/>
  <c r="HX48" i="75"/>
  <c r="HW48" i="75"/>
  <c r="HV48" i="75"/>
  <c r="HU48" i="75"/>
  <c r="HT48" i="75"/>
  <c r="HS48" i="75"/>
  <c r="HR48" i="75"/>
  <c r="HQ48" i="75"/>
  <c r="HP48" i="75"/>
  <c r="HO48" i="75"/>
  <c r="HN48" i="75"/>
  <c r="HM48" i="75"/>
  <c r="HL48" i="75"/>
  <c r="HK48" i="75"/>
  <c r="HJ48" i="75"/>
  <c r="HI48" i="75"/>
  <c r="HH48" i="75"/>
  <c r="HG48" i="75"/>
  <c r="HF48" i="75"/>
  <c r="HE48" i="75"/>
  <c r="HD48" i="75"/>
  <c r="HC48" i="75"/>
  <c r="HB48" i="75"/>
  <c r="HA48" i="75"/>
  <c r="GZ48" i="75"/>
  <c r="GY48" i="75"/>
  <c r="GX48" i="75"/>
  <c r="GW48" i="75"/>
  <c r="GV48" i="75"/>
  <c r="GU48" i="75"/>
  <c r="GT48" i="75"/>
  <c r="GS48" i="75"/>
  <c r="GR48" i="75"/>
  <c r="GQ48" i="75"/>
  <c r="GP48" i="75"/>
  <c r="GO48" i="75"/>
  <c r="GN48" i="75"/>
  <c r="GM48" i="75"/>
  <c r="GL48" i="75"/>
  <c r="GK48" i="75"/>
  <c r="GJ48" i="75"/>
  <c r="GI48" i="75"/>
  <c r="GH48" i="75"/>
  <c r="GG48" i="75"/>
  <c r="GF48" i="75"/>
  <c r="GE48" i="75"/>
  <c r="GD48" i="75"/>
  <c r="GC48" i="75"/>
  <c r="GB48" i="75"/>
  <c r="GA48" i="75"/>
  <c r="FZ48" i="75"/>
  <c r="FY48" i="75"/>
  <c r="FX48" i="75"/>
  <c r="FW48" i="75"/>
  <c r="FV48" i="75"/>
  <c r="FU48" i="75"/>
  <c r="FT48" i="75"/>
  <c r="FS48" i="75"/>
  <c r="FR48" i="75"/>
  <c r="FQ48" i="75"/>
  <c r="FP48" i="75"/>
  <c r="FO48" i="75"/>
  <c r="FN48" i="75"/>
  <c r="FM48" i="75"/>
  <c r="FL48" i="75"/>
  <c r="FK48" i="75"/>
  <c r="FJ48" i="75"/>
  <c r="FI48" i="75"/>
  <c r="FH48" i="75"/>
  <c r="FG48" i="75"/>
  <c r="FF48" i="75"/>
  <c r="FE48" i="75"/>
  <c r="FD48" i="75"/>
  <c r="FC48" i="75"/>
  <c r="FB48" i="75"/>
  <c r="FA48" i="75"/>
  <c r="EZ48" i="75"/>
  <c r="EY48" i="75"/>
  <c r="EX48" i="75"/>
  <c r="EW48" i="75"/>
  <c r="EV48" i="75"/>
  <c r="EU48" i="75"/>
  <c r="ET48" i="75"/>
  <c r="ES48" i="75"/>
  <c r="ER48" i="75"/>
  <c r="EQ48" i="75"/>
  <c r="EP48" i="75"/>
  <c r="EO48" i="75"/>
  <c r="EN48" i="75"/>
  <c r="EM48" i="75"/>
  <c r="EL48" i="75"/>
  <c r="EK48" i="75"/>
  <c r="EJ48" i="75"/>
  <c r="EI48" i="75"/>
  <c r="EH48" i="75"/>
  <c r="EG48" i="75"/>
  <c r="EF48" i="75"/>
  <c r="EE48" i="75"/>
  <c r="ED48" i="75"/>
  <c r="EC48" i="75"/>
  <c r="EB48" i="75"/>
  <c r="EA48" i="75"/>
  <c r="DZ48" i="75"/>
  <c r="DY48" i="75"/>
  <c r="DX48" i="75"/>
  <c r="DW48" i="75"/>
  <c r="DV48" i="75"/>
  <c r="DU48" i="75"/>
  <c r="DT48" i="75"/>
  <c r="DS48" i="75"/>
  <c r="DR48" i="75"/>
  <c r="DQ48" i="75"/>
  <c r="DP48" i="75"/>
  <c r="DO48" i="75"/>
  <c r="DN48" i="75"/>
  <c r="DM48" i="75"/>
  <c r="DL48" i="75"/>
  <c r="DK48" i="75"/>
  <c r="DJ48" i="75"/>
  <c r="DI48" i="75"/>
  <c r="DH48" i="75"/>
  <c r="DG48" i="75"/>
  <c r="DF48" i="75"/>
  <c r="DE48" i="75"/>
  <c r="DD48" i="75"/>
  <c r="DC48" i="75"/>
  <c r="DB48" i="75"/>
  <c r="DA48" i="75"/>
  <c r="CZ48" i="75"/>
  <c r="CY48"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J48" i="75"/>
  <c r="J888" i="97" s="1"/>
  <c r="L888" i="97" s="1"/>
  <c r="M888" i="97" s="1"/>
  <c r="A48"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L47" i="75"/>
  <c r="M47" i="75" s="1"/>
  <c r="J47" i="75"/>
  <c r="J887" i="97" s="1"/>
  <c r="A47"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J46" i="75"/>
  <c r="J886" i="97" s="1"/>
  <c r="A46"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J885" i="97" s="1"/>
  <c r="A45"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J44" i="75"/>
  <c r="J884" i="97" s="1"/>
  <c r="A44"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J43" i="75"/>
  <c r="J883" i="97" s="1"/>
  <c r="A43"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J42" i="75"/>
  <c r="J882" i="97" s="1"/>
  <c r="A42"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J41" i="75"/>
  <c r="J881" i="97" s="1"/>
  <c r="A41"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J40" i="75"/>
  <c r="J880" i="97" s="1"/>
  <c r="A40"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J39" i="75"/>
  <c r="J879" i="97" s="1"/>
  <c r="A39"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J38" i="75"/>
  <c r="J878" i="97" s="1"/>
  <c r="A38"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J877" i="97" s="1"/>
  <c r="A37"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J36" i="75"/>
  <c r="J876" i="97" s="1"/>
  <c r="A36"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L35" i="75"/>
  <c r="M35" i="75" s="1"/>
  <c r="J35" i="75"/>
  <c r="J875" i="97" s="1"/>
  <c r="A35"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J34" i="75"/>
  <c r="J874" i="97" s="1"/>
  <c r="A34"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J33" i="75"/>
  <c r="J873" i="97" s="1"/>
  <c r="A33"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872" i="97" s="1"/>
  <c r="A32"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871" i="97" s="1"/>
  <c r="L871" i="97" s="1"/>
  <c r="A31"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J870" i="97" s="1"/>
  <c r="A30"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J29" i="75"/>
  <c r="J869" i="97" s="1"/>
  <c r="A29"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L28" i="75"/>
  <c r="M28" i="75" s="1"/>
  <c r="J28" i="75"/>
  <c r="J868" i="97" s="1"/>
  <c r="A28"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J27" i="75"/>
  <c r="J867" i="97" s="1"/>
  <c r="A27"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A26"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A25"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A24"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A23"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A22" i="75"/>
  <c r="MT21"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A19"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M17" i="75"/>
  <c r="L17" i="75"/>
  <c r="A17"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L15" i="75"/>
  <c r="M15" i="75" s="1"/>
  <c r="A15"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L14" i="75"/>
  <c r="M14" i="75" s="1"/>
  <c r="A14"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L13" i="75"/>
  <c r="M13" i="75" s="1"/>
  <c r="A13"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MT11" i="75"/>
  <c r="MS11" i="75"/>
  <c r="MR11" i="75"/>
  <c r="MR49" i="75" s="1"/>
  <c r="MQ11" i="75"/>
  <c r="MP11" i="75"/>
  <c r="MO11" i="75"/>
  <c r="MN11" i="75"/>
  <c r="MN49" i="75" s="1"/>
  <c r="MM11" i="75"/>
  <c r="ML11" i="75"/>
  <c r="MK11" i="75"/>
  <c r="MJ11" i="75"/>
  <c r="MJ49" i="75" s="1"/>
  <c r="MI11" i="75"/>
  <c r="MH11" i="75"/>
  <c r="MG11" i="75"/>
  <c r="MF11" i="75"/>
  <c r="MF49" i="75" s="1"/>
  <c r="ME11" i="75"/>
  <c r="MD11" i="75"/>
  <c r="MC11" i="75"/>
  <c r="MB11" i="75"/>
  <c r="MB49" i="75" s="1"/>
  <c r="MA11" i="75"/>
  <c r="LZ11" i="75"/>
  <c r="LY11" i="75"/>
  <c r="LX11" i="75"/>
  <c r="LX49" i="75" s="1"/>
  <c r="LW11" i="75"/>
  <c r="LV11" i="75"/>
  <c r="LU11" i="75"/>
  <c r="LT11" i="75"/>
  <c r="LT49" i="75" s="1"/>
  <c r="LS11" i="75"/>
  <c r="LR11" i="75"/>
  <c r="LQ11" i="75"/>
  <c r="LP11" i="75"/>
  <c r="LP49" i="75" s="1"/>
  <c r="LO11" i="75"/>
  <c r="LN11" i="75"/>
  <c r="LM11" i="75"/>
  <c r="LL11" i="75"/>
  <c r="LL49" i="75" s="1"/>
  <c r="LK11" i="75"/>
  <c r="LJ11" i="75"/>
  <c r="LI11" i="75"/>
  <c r="LH11" i="75"/>
  <c r="LH49" i="75" s="1"/>
  <c r="LG11" i="75"/>
  <c r="LF11" i="75"/>
  <c r="LE11" i="75"/>
  <c r="LD11" i="75"/>
  <c r="LD49" i="75" s="1"/>
  <c r="M135" i="75" s="1"/>
  <c r="LC11" i="75"/>
  <c r="LB11" i="75"/>
  <c r="LA11" i="75"/>
  <c r="KZ11" i="75"/>
  <c r="KZ49" i="75" s="1"/>
  <c r="N133" i="75" s="1"/>
  <c r="KY11" i="75"/>
  <c r="KX11" i="75"/>
  <c r="KW11" i="75"/>
  <c r="KV11" i="75"/>
  <c r="KV49" i="75" s="1"/>
  <c r="O134" i="75" s="1"/>
  <c r="KU11" i="75"/>
  <c r="KT11" i="75"/>
  <c r="KS11" i="75"/>
  <c r="KR11" i="75"/>
  <c r="KR49" i="75" s="1"/>
  <c r="K134" i="75" s="1"/>
  <c r="KQ11" i="75"/>
  <c r="KP11" i="75"/>
  <c r="KO11" i="75"/>
  <c r="KN11" i="75"/>
  <c r="KN49" i="75" s="1"/>
  <c r="L132" i="75" s="1"/>
  <c r="KM11" i="75"/>
  <c r="KL11" i="75"/>
  <c r="KK11" i="75"/>
  <c r="KJ11" i="75"/>
  <c r="KJ49" i="75" s="1"/>
  <c r="M131" i="75" s="1"/>
  <c r="M154" i="75" s="1"/>
  <c r="KI11" i="75"/>
  <c r="KH11" i="75"/>
  <c r="KG11" i="75"/>
  <c r="KF11" i="75"/>
  <c r="KF49" i="75" s="1"/>
  <c r="N129" i="75" s="1"/>
  <c r="KE11" i="75"/>
  <c r="KD11" i="75"/>
  <c r="KC11" i="75"/>
  <c r="KB11" i="75"/>
  <c r="KB49" i="75" s="1"/>
  <c r="O130" i="75" s="1"/>
  <c r="O153" i="75" s="1"/>
  <c r="KA11" i="75"/>
  <c r="JZ11" i="75"/>
  <c r="JY11" i="75"/>
  <c r="JX11" i="75"/>
  <c r="JX49" i="75" s="1"/>
  <c r="K130" i="75" s="1"/>
  <c r="JW11" i="75"/>
  <c r="JV11" i="75"/>
  <c r="JU11" i="75"/>
  <c r="JT11" i="75"/>
  <c r="JT49" i="75" s="1"/>
  <c r="L128" i="75" s="1"/>
  <c r="JS11" i="75"/>
  <c r="JR11" i="75"/>
  <c r="JQ11" i="75"/>
  <c r="JP11" i="75"/>
  <c r="JP49" i="75" s="1"/>
  <c r="M139" i="75" s="1"/>
  <c r="M150" i="75" s="1"/>
  <c r="JO11" i="75"/>
  <c r="JN11" i="75"/>
  <c r="JM11" i="75"/>
  <c r="JL11" i="75"/>
  <c r="JL49" i="75" s="1"/>
  <c r="N138" i="75" s="1"/>
  <c r="N149" i="75" s="1"/>
  <c r="JK11" i="75"/>
  <c r="JJ11" i="75"/>
  <c r="JI11" i="75"/>
  <c r="JH11" i="75"/>
  <c r="JH49" i="75" s="1"/>
  <c r="O141" i="75" s="1"/>
  <c r="JG11" i="75"/>
  <c r="JF11" i="75"/>
  <c r="JE11" i="75"/>
  <c r="JD11" i="75"/>
  <c r="JD49" i="75" s="1"/>
  <c r="K141" i="75" s="1"/>
  <c r="JC11" i="75"/>
  <c r="JB11" i="75"/>
  <c r="JA11" i="75"/>
  <c r="IZ11" i="75"/>
  <c r="IZ49" i="75" s="1"/>
  <c r="L140" i="75" s="1"/>
  <c r="IY11" i="75"/>
  <c r="IX11" i="75"/>
  <c r="IW11" i="75"/>
  <c r="IV11" i="75"/>
  <c r="IV49" i="75" s="1"/>
  <c r="M143" i="75" s="1"/>
  <c r="IU11" i="75"/>
  <c r="IT11" i="75"/>
  <c r="IS11" i="75"/>
  <c r="IR11" i="75"/>
  <c r="IR49" i="75" s="1"/>
  <c r="N142" i="75" s="1"/>
  <c r="IQ11" i="75"/>
  <c r="IP11" i="75"/>
  <c r="IO11" i="75"/>
  <c r="IN11" i="75"/>
  <c r="IN49" i="75" s="1"/>
  <c r="O137" i="75" s="1"/>
  <c r="IM11" i="75"/>
  <c r="IL11" i="75"/>
  <c r="IK11" i="75"/>
  <c r="IJ11" i="75"/>
  <c r="IJ49" i="75" s="1"/>
  <c r="K137" i="75" s="1"/>
  <c r="II11" i="75"/>
  <c r="IH11" i="75"/>
  <c r="IG11" i="75"/>
  <c r="IF11" i="75"/>
  <c r="IF49" i="75" s="1"/>
  <c r="L136" i="75" s="1"/>
  <c r="IE11" i="75"/>
  <c r="ID11" i="75"/>
  <c r="IC11" i="75"/>
  <c r="IB11" i="75"/>
  <c r="IB49" i="75" s="1"/>
  <c r="IA11" i="75"/>
  <c r="HZ11" i="75"/>
  <c r="HY11" i="75"/>
  <c r="HX11" i="75"/>
  <c r="HX49" i="75" s="1"/>
  <c r="HW11" i="75"/>
  <c r="HV11" i="75"/>
  <c r="HU11" i="75"/>
  <c r="HT11" i="75"/>
  <c r="HT49" i="75" s="1"/>
  <c r="O120" i="75" s="1"/>
  <c r="HS11" i="75"/>
  <c r="HR11" i="75"/>
  <c r="HQ11" i="75"/>
  <c r="HP11" i="75"/>
  <c r="HP49" i="75" s="1"/>
  <c r="K120" i="75" s="1"/>
  <c r="HO11" i="75"/>
  <c r="HN11" i="75"/>
  <c r="HM11" i="75"/>
  <c r="HL11" i="75"/>
  <c r="HL49" i="75" s="1"/>
  <c r="L119" i="75" s="1"/>
  <c r="HK11" i="75"/>
  <c r="HJ11" i="75"/>
  <c r="HI11" i="75"/>
  <c r="HH11" i="75"/>
  <c r="HH49" i="75" s="1"/>
  <c r="HG11" i="75"/>
  <c r="HF11" i="75"/>
  <c r="HE11" i="75"/>
  <c r="HD11" i="75"/>
  <c r="HD49" i="75" s="1"/>
  <c r="N117" i="75" s="1"/>
  <c r="HC11" i="75"/>
  <c r="HB11" i="75"/>
  <c r="HA11" i="75"/>
  <c r="GZ11" i="75"/>
  <c r="GZ49" i="75" s="1"/>
  <c r="O116" i="75" s="1"/>
  <c r="GY11" i="75"/>
  <c r="GX11" i="75"/>
  <c r="GW11" i="75"/>
  <c r="GV11" i="75"/>
  <c r="GV49" i="75" s="1"/>
  <c r="K116" i="75" s="1"/>
  <c r="GU11" i="75"/>
  <c r="GT11" i="75"/>
  <c r="GS11" i="75"/>
  <c r="GR11" i="75"/>
  <c r="GR49" i="75" s="1"/>
  <c r="GQ11" i="75"/>
  <c r="GP11" i="75"/>
  <c r="GO11" i="75"/>
  <c r="GN11" i="75"/>
  <c r="GN49" i="75" s="1"/>
  <c r="M114" i="75" s="1"/>
  <c r="GM11" i="75"/>
  <c r="GL11" i="75"/>
  <c r="GK11" i="75"/>
  <c r="GJ11" i="75"/>
  <c r="GJ49" i="75" s="1"/>
  <c r="N113" i="75" s="1"/>
  <c r="GI11" i="75"/>
  <c r="GH11" i="75"/>
  <c r="GG11" i="75"/>
  <c r="GF11" i="75"/>
  <c r="GF49" i="75" s="1"/>
  <c r="O167" i="75" s="1"/>
  <c r="GE11" i="75"/>
  <c r="GD11" i="75"/>
  <c r="GC11" i="75"/>
  <c r="GB11" i="75"/>
  <c r="GB49" i="75" s="1"/>
  <c r="K167" i="75" s="1"/>
  <c r="GA11" i="75"/>
  <c r="FZ11" i="75"/>
  <c r="FY11" i="75"/>
  <c r="FX11" i="75"/>
  <c r="FX49" i="75" s="1"/>
  <c r="FW11" i="75"/>
  <c r="FV11" i="75"/>
  <c r="FU11" i="75"/>
  <c r="FT11" i="75"/>
  <c r="FT49" i="75" s="1"/>
  <c r="M165" i="75" s="1"/>
  <c r="FS11" i="75"/>
  <c r="FR11" i="75"/>
  <c r="FQ11" i="75"/>
  <c r="FP11" i="75"/>
  <c r="FP49" i="75" s="1"/>
  <c r="N163" i="75" s="1"/>
  <c r="FO11" i="75"/>
  <c r="FN11" i="75"/>
  <c r="FM11" i="75"/>
  <c r="FL11" i="75"/>
  <c r="FL49" i="75" s="1"/>
  <c r="O162" i="75" s="1"/>
  <c r="FK11" i="75"/>
  <c r="FJ11" i="75"/>
  <c r="FI11" i="75"/>
  <c r="FH11" i="75"/>
  <c r="FH49" i="75" s="1"/>
  <c r="K162" i="75" s="1"/>
  <c r="FG11" i="75"/>
  <c r="FF11" i="75"/>
  <c r="FE11" i="75"/>
  <c r="FD11" i="75"/>
  <c r="FD49" i="75" s="1"/>
  <c r="L161" i="75" s="1"/>
  <c r="FC11" i="75"/>
  <c r="FB11" i="75"/>
  <c r="FA11" i="75"/>
  <c r="EZ11" i="75"/>
  <c r="EZ49" i="75" s="1"/>
  <c r="M160" i="75" s="1"/>
  <c r="EY11" i="75"/>
  <c r="EX11" i="75"/>
  <c r="EW11" i="75"/>
  <c r="EV11" i="75"/>
  <c r="EV49" i="75" s="1"/>
  <c r="N159" i="75" s="1"/>
  <c r="EU11" i="75"/>
  <c r="ET11" i="75"/>
  <c r="ES11" i="75"/>
  <c r="ER11" i="75"/>
  <c r="ER49" i="75" s="1"/>
  <c r="O158" i="75" s="1"/>
  <c r="EQ11" i="75"/>
  <c r="EP11" i="75"/>
  <c r="EO11" i="75"/>
  <c r="EN11" i="75"/>
  <c r="EN49" i="75" s="1"/>
  <c r="K158" i="75" s="1"/>
  <c r="EM11" i="75"/>
  <c r="EL11" i="75"/>
  <c r="EK11" i="75"/>
  <c r="EJ11" i="75"/>
  <c r="EJ49" i="75" s="1"/>
  <c r="L157" i="75" s="1"/>
  <c r="EI11" i="75"/>
  <c r="EH11" i="75"/>
  <c r="EG11" i="75"/>
  <c r="EF11" i="75"/>
  <c r="EF49" i="75" s="1"/>
  <c r="M66" i="75" s="1"/>
  <c r="EE11" i="75"/>
  <c r="ED11" i="75"/>
  <c r="EC11" i="75"/>
  <c r="EB11" i="75"/>
  <c r="EB49" i="75" s="1"/>
  <c r="N104" i="75" s="1"/>
  <c r="EA11" i="75"/>
  <c r="DZ11" i="75"/>
  <c r="DY11" i="75"/>
  <c r="DX11" i="75"/>
  <c r="DX49" i="75" s="1"/>
  <c r="O105" i="75" s="1"/>
  <c r="DW11" i="75"/>
  <c r="DV11" i="75"/>
  <c r="DU11" i="75"/>
  <c r="DT11" i="75"/>
  <c r="DT49" i="75" s="1"/>
  <c r="K105" i="75" s="1"/>
  <c r="DS11" i="75"/>
  <c r="DR11" i="75"/>
  <c r="DQ11" i="75"/>
  <c r="DP11" i="75"/>
  <c r="DP49" i="75" s="1"/>
  <c r="L106" i="75" s="1"/>
  <c r="DO11" i="75"/>
  <c r="DN11" i="75"/>
  <c r="DM11" i="75"/>
  <c r="DL11" i="75"/>
  <c r="DL49" i="75" s="1"/>
  <c r="M107" i="75" s="1"/>
  <c r="DK11" i="75"/>
  <c r="DJ11" i="75"/>
  <c r="DI11" i="75"/>
  <c r="DH11" i="75"/>
  <c r="DH49" i="75" s="1"/>
  <c r="N108" i="75" s="1"/>
  <c r="DG11" i="75"/>
  <c r="DF11" i="75"/>
  <c r="DE11" i="75"/>
  <c r="DD11" i="75"/>
  <c r="DD49" i="75" s="1"/>
  <c r="O109" i="75" s="1"/>
  <c r="DC11" i="75"/>
  <c r="DB11" i="75"/>
  <c r="DA11" i="75"/>
  <c r="CZ11" i="75"/>
  <c r="CZ49" i="75" s="1"/>
  <c r="K109" i="75" s="1"/>
  <c r="CY11" i="75"/>
  <c r="CX11" i="75"/>
  <c r="CW11" i="75"/>
  <c r="CV11" i="75"/>
  <c r="CV49" i="75" s="1"/>
  <c r="L110" i="75" s="1"/>
  <c r="CU11" i="75"/>
  <c r="CT11" i="75"/>
  <c r="CS11" i="75"/>
  <c r="CR11" i="75"/>
  <c r="CR49" i="75" s="1"/>
  <c r="M93" i="75" s="1"/>
  <c r="CQ11" i="75"/>
  <c r="CP11" i="75"/>
  <c r="CO11" i="75"/>
  <c r="CN11" i="75"/>
  <c r="CN49" i="75" s="1"/>
  <c r="N94" i="75" s="1"/>
  <c r="CM11" i="75"/>
  <c r="CL11" i="75"/>
  <c r="CK11" i="75"/>
  <c r="CJ11" i="75"/>
  <c r="CJ49" i="75" s="1"/>
  <c r="O95" i="75" s="1"/>
  <c r="CI11" i="75"/>
  <c r="CH11" i="75"/>
  <c r="CG11" i="75"/>
  <c r="CF11" i="75"/>
  <c r="CF49" i="75" s="1"/>
  <c r="K95" i="75" s="1"/>
  <c r="CE11" i="75"/>
  <c r="CD11" i="75"/>
  <c r="CC11" i="75"/>
  <c r="CB11" i="75"/>
  <c r="CB49" i="75" s="1"/>
  <c r="L96" i="75" s="1"/>
  <c r="CA11" i="75"/>
  <c r="BZ11" i="75"/>
  <c r="BY11" i="75"/>
  <c r="BX11" i="75"/>
  <c r="BX49" i="75" s="1"/>
  <c r="M97" i="75" s="1"/>
  <c r="BW11" i="75"/>
  <c r="BV11" i="75"/>
  <c r="BU11" i="75"/>
  <c r="BT11" i="75"/>
  <c r="BT49" i="75" s="1"/>
  <c r="N98" i="75" s="1"/>
  <c r="BS11" i="75"/>
  <c r="BR11" i="75"/>
  <c r="BQ11" i="75"/>
  <c r="BP11" i="75"/>
  <c r="BP49" i="75" s="1"/>
  <c r="O99" i="75" s="1"/>
  <c r="BO11" i="75"/>
  <c r="BN11" i="75"/>
  <c r="BM11" i="75"/>
  <c r="BL11" i="75"/>
  <c r="BL49" i="75" s="1"/>
  <c r="K99" i="75" s="1"/>
  <c r="BK11" i="75"/>
  <c r="BJ11" i="75"/>
  <c r="BI11" i="75"/>
  <c r="BH11" i="75"/>
  <c r="BH49" i="75" s="1"/>
  <c r="L64" i="75" s="1"/>
  <c r="BG11" i="75"/>
  <c r="BF11" i="75"/>
  <c r="BE11" i="75"/>
  <c r="BD11" i="75"/>
  <c r="BD49" i="75" s="1"/>
  <c r="M62" i="75" s="1"/>
  <c r="BC11" i="75"/>
  <c r="BB11" i="75"/>
  <c r="BA11" i="75"/>
  <c r="AZ11" i="75"/>
  <c r="AZ49" i="75" s="1"/>
  <c r="N61" i="75" s="1"/>
  <c r="AY11" i="75"/>
  <c r="AX11" i="75"/>
  <c r="AW11" i="75"/>
  <c r="AV11" i="75"/>
  <c r="AV49" i="75" s="1"/>
  <c r="O60" i="75" s="1"/>
  <c r="AU11" i="75"/>
  <c r="AT11" i="75"/>
  <c r="AS11" i="75"/>
  <c r="AR11" i="75"/>
  <c r="AR49" i="75" s="1"/>
  <c r="K60" i="75" s="1"/>
  <c r="AQ11" i="75"/>
  <c r="AP11" i="75"/>
  <c r="AO11" i="75"/>
  <c r="AN11" i="75"/>
  <c r="AN49" i="75" s="1"/>
  <c r="L59" i="75" s="1"/>
  <c r="AM11" i="75"/>
  <c r="AL11" i="75"/>
  <c r="AK11" i="75"/>
  <c r="AJ11" i="75"/>
  <c r="AJ49" i="75" s="1"/>
  <c r="M58" i="75" s="1"/>
  <c r="AI11" i="75"/>
  <c r="AH11" i="75"/>
  <c r="AG11" i="75"/>
  <c r="AF11" i="75"/>
  <c r="AF49" i="75" s="1"/>
  <c r="N57" i="75" s="1"/>
  <c r="AE11" i="75"/>
  <c r="AD11" i="75"/>
  <c r="AC11" i="75"/>
  <c r="AB11" i="75"/>
  <c r="AB49" i="75" s="1"/>
  <c r="O56" i="75" s="1"/>
  <c r="AA11" i="75"/>
  <c r="Z11" i="75"/>
  <c r="Y11" i="75"/>
  <c r="X11" i="75"/>
  <c r="X49" i="75" s="1"/>
  <c r="K56" i="75" s="1"/>
  <c r="L11" i="75"/>
  <c r="M11" i="75" s="1"/>
  <c r="A11" i="75"/>
  <c r="L6" i="75"/>
  <c r="T4" i="75"/>
  <c r="M39" i="76"/>
  <c r="L39" i="76"/>
  <c r="K39" i="76"/>
  <c r="J39" i="76"/>
  <c r="I39" i="76"/>
  <c r="M22" i="76"/>
  <c r="L22" i="76"/>
  <c r="J24" i="75" s="1"/>
  <c r="K22" i="76"/>
  <c r="J23" i="75" s="1"/>
  <c r="J22" i="76"/>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S197" i="78"/>
  <c r="J197" i="78"/>
  <c r="I10" i="66" s="1"/>
  <c r="S195" i="78"/>
  <c r="M195" i="78"/>
  <c r="S191" i="78"/>
  <c r="U193" i="78" s="1"/>
  <c r="J188" i="78"/>
  <c r="O185" i="78"/>
  <c r="J185" i="78"/>
  <c r="W181" i="78"/>
  <c r="P163" i="78"/>
  <c r="W161" i="78"/>
  <c r="V159" i="78"/>
  <c r="P159" i="78"/>
  <c r="J159" i="78"/>
  <c r="J163" i="78" s="1"/>
  <c r="W151" i="78"/>
  <c r="W150" i="78"/>
  <c r="V144" i="78"/>
  <c r="S144" i="78"/>
  <c r="P144" i="78"/>
  <c r="M144" i="78"/>
  <c r="J144" i="78"/>
  <c r="G144" i="78"/>
  <c r="U143" i="78"/>
  <c r="A143" i="78"/>
  <c r="W141" i="78"/>
  <c r="O141" i="78"/>
  <c r="V139" i="78"/>
  <c r="V135" i="78"/>
  <c r="S135" i="78"/>
  <c r="P135" i="78"/>
  <c r="M135" i="78"/>
  <c r="J135" i="78"/>
  <c r="G135" i="78"/>
  <c r="U134" i="78"/>
  <c r="A134" i="78"/>
  <c r="AF131" i="78"/>
  <c r="J131" i="78"/>
  <c r="AF130" i="78"/>
  <c r="J130" i="78"/>
  <c r="W128" i="78"/>
  <c r="O128" i="78"/>
  <c r="AC127" i="78"/>
  <c r="AA127" i="78"/>
  <c r="V127" i="78"/>
  <c r="S127" i="78"/>
  <c r="P127" i="78"/>
  <c r="M127" i="78"/>
  <c r="J127" i="78"/>
  <c r="G127" i="78"/>
  <c r="C135" i="90" s="1"/>
  <c r="L65" i="85" s="1"/>
  <c r="AD126" i="78"/>
  <c r="AC126" i="78"/>
  <c r="AB126" i="78"/>
  <c r="AA126" i="78"/>
  <c r="F126" i="78"/>
  <c r="AC125" i="78"/>
  <c r="AG125" i="78" s="1"/>
  <c r="AB125" i="78"/>
  <c r="AA125" i="78"/>
  <c r="AC124" i="78"/>
  <c r="AA124" i="78"/>
  <c r="AC123" i="78"/>
  <c r="AB123" i="78"/>
  <c r="AA123" i="78"/>
  <c r="AC122" i="78"/>
  <c r="AD122" i="78" s="1"/>
  <c r="AB122" i="78"/>
  <c r="AA122" i="78"/>
  <c r="W121" i="78"/>
  <c r="O121" i="78"/>
  <c r="E121" i="78"/>
  <c r="V120" i="78"/>
  <c r="S120" i="78"/>
  <c r="G120" i="78"/>
  <c r="U119" i="78"/>
  <c r="A119" i="78"/>
  <c r="W115" i="78"/>
  <c r="O115" i="78"/>
  <c r="V114" i="78"/>
  <c r="S114" i="78"/>
  <c r="G114" i="78"/>
  <c r="U113" i="78"/>
  <c r="A113" i="78"/>
  <c r="U112" i="78"/>
  <c r="A112" i="78"/>
  <c r="F111" i="78"/>
  <c r="F110" i="78"/>
  <c r="B106" i="78"/>
  <c r="B105" i="78"/>
  <c r="W104" i="78"/>
  <c r="O104" i="78"/>
  <c r="V103" i="78"/>
  <c r="S103" i="78"/>
  <c r="G103" i="78"/>
  <c r="U102" i="78"/>
  <c r="A102" i="78"/>
  <c r="W96" i="78"/>
  <c r="O96" i="78"/>
  <c r="V94" i="78"/>
  <c r="V92" i="78"/>
  <c r="S92" i="78"/>
  <c r="P92" i="78"/>
  <c r="M92" i="78"/>
  <c r="J92" i="78"/>
  <c r="G92" i="78"/>
  <c r="W87" i="78"/>
  <c r="O87" i="78"/>
  <c r="V86" i="78"/>
  <c r="S86" i="78"/>
  <c r="P86" i="78"/>
  <c r="M86" i="78"/>
  <c r="J86" i="78"/>
  <c r="G86" i="78"/>
  <c r="U85" i="78"/>
  <c r="A85" i="78"/>
  <c r="W74" i="78"/>
  <c r="O74" i="78"/>
  <c r="V73" i="78"/>
  <c r="S73" i="78"/>
  <c r="P73" i="78"/>
  <c r="M73" i="78"/>
  <c r="J73" i="78"/>
  <c r="G73" i="78"/>
  <c r="U72" i="78"/>
  <c r="A72" i="78"/>
  <c r="U71" i="78"/>
  <c r="A71" i="78"/>
  <c r="W60" i="78"/>
  <c r="O60" i="78"/>
  <c r="W54" i="78"/>
  <c r="O54" i="78"/>
  <c r="W51" i="78"/>
  <c r="W45" i="78"/>
  <c r="O45" i="78"/>
  <c r="V41" i="78"/>
  <c r="S41" i="78"/>
  <c r="P41" i="78"/>
  <c r="M41" i="78"/>
  <c r="J41" i="78"/>
  <c r="G41" i="78"/>
  <c r="D40" i="78"/>
  <c r="D39" i="78"/>
  <c r="D38" i="78"/>
  <c r="W37" i="78"/>
  <c r="O37" i="78"/>
  <c r="V36" i="78"/>
  <c r="S36" i="78"/>
  <c r="P36" i="78"/>
  <c r="M36" i="78"/>
  <c r="J36" i="78"/>
  <c r="G36" i="78"/>
  <c r="W29" i="78"/>
  <c r="O29" i="78"/>
  <c r="V28" i="78"/>
  <c r="S28" i="78"/>
  <c r="P28" i="78"/>
  <c r="M28" i="78"/>
  <c r="J28" i="78"/>
  <c r="G28" i="78"/>
  <c r="C49" i="78" s="1"/>
  <c r="F26" i="78"/>
  <c r="W25" i="78"/>
  <c r="O25" i="78"/>
  <c r="V24" i="78"/>
  <c r="S24" i="78"/>
  <c r="M24" i="78"/>
  <c r="G24" i="78"/>
  <c r="F20" i="78"/>
  <c r="W19" i="78"/>
  <c r="O19" i="78"/>
  <c r="V18" i="78"/>
  <c r="S18" i="78"/>
  <c r="P18" i="78"/>
  <c r="M18" i="78"/>
  <c r="J18" i="78"/>
  <c r="G18" i="78"/>
  <c r="U17" i="78"/>
  <c r="A17" i="78"/>
  <c r="U16" i="78"/>
  <c r="A16" i="78"/>
  <c r="U15" i="78"/>
  <c r="A15" i="78"/>
  <c r="W8" i="78"/>
  <c r="O8" i="78"/>
  <c r="V6" i="78"/>
  <c r="D6"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60" i="68"/>
  <c r="J686" i="97" s="1"/>
  <c r="P45" i="68"/>
  <c r="F32" i="74" s="1"/>
  <c r="P43" i="68"/>
  <c r="I61" i="74" s="1"/>
  <c r="P42" i="68"/>
  <c r="P41" i="68"/>
  <c r="B91" i="74" s="1"/>
  <c r="P40" i="68"/>
  <c r="G90" i="74" s="1"/>
  <c r="S37" i="68"/>
  <c r="L33" i="68"/>
  <c r="S19" i="68"/>
  <c r="S4" i="68"/>
  <c r="L4" i="68"/>
  <c r="L184" i="67"/>
  <c r="O4" i="67"/>
  <c r="H189" i="66"/>
  <c r="H213" i="97" s="1"/>
  <c r="P90" i="66"/>
  <c r="H90" i="66"/>
  <c r="H114" i="97" s="1"/>
  <c r="P88" i="66"/>
  <c r="H88" i="66"/>
  <c r="H112" i="97" s="1"/>
  <c r="P87" i="66"/>
  <c r="H87" i="66"/>
  <c r="H111" i="97" s="1"/>
  <c r="I71" i="66"/>
  <c r="H71" i="66"/>
  <c r="H13" i="84" s="1"/>
  <c r="P55" i="66"/>
  <c r="P79" i="97" s="1"/>
  <c r="N55" i="66"/>
  <c r="N79" i="97" s="1"/>
  <c r="K41" i="66"/>
  <c r="J40" i="66"/>
  <c r="A2" i="78" s="1"/>
  <c r="W2" i="78" s="1"/>
  <c r="L39" i="66"/>
  <c r="O10" i="66"/>
  <c r="A2" i="79"/>
  <c r="A68" i="85"/>
  <c r="C60" i="95"/>
  <c r="C49" i="95"/>
  <c r="C40" i="90"/>
  <c r="C46" i="95"/>
  <c r="C58" i="95"/>
  <c r="C45" i="95"/>
  <c r="C57" i="95"/>
  <c r="C66" i="95"/>
  <c r="C55" i="95"/>
  <c r="C56" i="95"/>
  <c r="C42" i="95"/>
  <c r="C40" i="95"/>
  <c r="C59" i="95"/>
  <c r="C39" i="95"/>
  <c r="C67" i="95"/>
  <c r="C68" i="95"/>
  <c r="C48" i="95"/>
  <c r="C62" i="95"/>
  <c r="C65" i="95"/>
  <c r="C64" i="95"/>
  <c r="C63" i="95"/>
  <c r="C51" i="95"/>
  <c r="C52" i="95"/>
  <c r="C61" i="95"/>
  <c r="C44" i="95"/>
  <c r="C69" i="95"/>
  <c r="C53" i="95"/>
  <c r="C41" i="95"/>
  <c r="C54" i="95"/>
  <c r="C50" i="95"/>
  <c r="C47" i="95"/>
  <c r="C39" i="90"/>
  <c r="C43" i="95"/>
  <c r="J22" i="75" l="1"/>
  <c r="J862" i="97" s="1"/>
  <c r="L862" i="97" s="1"/>
  <c r="MG859" i="97"/>
  <c r="CY866" i="97"/>
  <c r="LV869" i="97"/>
  <c r="ID869" i="97"/>
  <c r="GD869" i="97"/>
  <c r="DW869" i="97"/>
  <c r="BS869" i="97"/>
  <c r="LT869" i="97"/>
  <c r="HT869" i="97"/>
  <c r="EZ869" i="97"/>
  <c r="DR869" i="97"/>
  <c r="BN869" i="97"/>
  <c r="JO869" i="97"/>
  <c r="HN869" i="97"/>
  <c r="EU869" i="97"/>
  <c r="CU869" i="97"/>
  <c r="AP869" i="97"/>
  <c r="AJ869" i="97"/>
  <c r="JH869" i="97"/>
  <c r="IY876" i="97"/>
  <c r="ID876" i="97"/>
  <c r="KY876" i="97"/>
  <c r="DP876" i="97"/>
  <c r="CA876" i="97"/>
  <c r="BY886" i="97"/>
  <c r="L2114" i="97"/>
  <c r="P1781" i="97"/>
  <c r="F39" i="78"/>
  <c r="M146" i="78"/>
  <c r="M162" i="78" s="1"/>
  <c r="M164" i="78" s="1"/>
  <c r="M166" i="78" s="1"/>
  <c r="G43" i="78"/>
  <c r="L34" i="68"/>
  <c r="L35" i="68" s="1"/>
  <c r="E108" i="78"/>
  <c r="J108" i="78" s="1"/>
  <c r="M230" i="72"/>
  <c r="P263" i="72"/>
  <c r="F16" i="86"/>
  <c r="C8" i="90"/>
  <c r="B5" i="92" s="1"/>
  <c r="J20" i="96"/>
  <c r="J50" i="96" s="1"/>
  <c r="J2177" i="97" s="1"/>
  <c r="H95" i="97"/>
  <c r="D544" i="97"/>
  <c r="M544" i="97"/>
  <c r="F540" i="97"/>
  <c r="G606" i="97"/>
  <c r="AD625" i="97"/>
  <c r="AD626" i="97"/>
  <c r="M630" i="97"/>
  <c r="J611" i="97"/>
  <c r="J813" i="97"/>
  <c r="HI857" i="97"/>
  <c r="DQ857" i="97"/>
  <c r="LZ857" i="97"/>
  <c r="ML858" i="97"/>
  <c r="GH858" i="97"/>
  <c r="ID858" i="97"/>
  <c r="LV858" i="97"/>
  <c r="IP859" i="97"/>
  <c r="MO861" i="97"/>
  <c r="AO863" i="97"/>
  <c r="BI863" i="97"/>
  <c r="FK863" i="97"/>
  <c r="IU864" i="97"/>
  <c r="GC864" i="97"/>
  <c r="EM864" i="97"/>
  <c r="BI864" i="97"/>
  <c r="MC864" i="97"/>
  <c r="HZ864" i="97"/>
  <c r="FR864" i="97"/>
  <c r="EH864" i="97"/>
  <c r="AY864" i="97"/>
  <c r="LO864" i="97"/>
  <c r="GG864" i="97"/>
  <c r="FI864" i="97"/>
  <c r="EG864" i="97"/>
  <c r="AO864" i="97"/>
  <c r="AD864" i="97"/>
  <c r="KL864" i="97"/>
  <c r="JN866" i="97"/>
  <c r="LJ867" i="97"/>
  <c r="A867" i="97"/>
  <c r="BJ867" i="97"/>
  <c r="KD867" i="97"/>
  <c r="CP869" i="97"/>
  <c r="MM869" i="97"/>
  <c r="KP871" i="97"/>
  <c r="KE876" i="97"/>
  <c r="LE886" i="97"/>
  <c r="I1405" i="97"/>
  <c r="K1405" i="97"/>
  <c r="J1405" i="97"/>
  <c r="H1405" i="97"/>
  <c r="AD125" i="78"/>
  <c r="L27" i="75"/>
  <c r="M27" i="75" s="1"/>
  <c r="L36" i="75"/>
  <c r="M36" i="75" s="1"/>
  <c r="L43" i="75"/>
  <c r="M43" i="75" s="1"/>
  <c r="E51" i="86"/>
  <c r="G52" i="86"/>
  <c r="A519" i="97"/>
  <c r="G544" i="97"/>
  <c r="J576" i="97"/>
  <c r="P647" i="97"/>
  <c r="MJ855" i="97"/>
  <c r="FH857" i="97"/>
  <c r="DE858" i="97"/>
  <c r="BY858" i="97"/>
  <c r="DV858" i="97"/>
  <c r="FR858" i="97"/>
  <c r="BE859" i="97"/>
  <c r="KK861" i="97"/>
  <c r="CC861" i="97"/>
  <c r="EH861" i="97"/>
  <c r="GC861" i="97"/>
  <c r="LI861" i="97"/>
  <c r="HW863" i="97"/>
  <c r="FW863" i="97"/>
  <c r="FF863" i="97"/>
  <c r="EL863" i="97"/>
  <c r="DQ863" i="97"/>
  <c r="CY863" i="97"/>
  <c r="CE863" i="97"/>
  <c r="LU863" i="97"/>
  <c r="HG863" i="97"/>
  <c r="FV863" i="97"/>
  <c r="FB863" i="97"/>
  <c r="EE863" i="97"/>
  <c r="DK863" i="97"/>
  <c r="CU863" i="97"/>
  <c r="BZ863" i="97"/>
  <c r="GS863" i="97"/>
  <c r="FQ863" i="97"/>
  <c r="EU863" i="97"/>
  <c r="EA863" i="97"/>
  <c r="DJ863" i="97"/>
  <c r="CO863" i="97"/>
  <c r="AC863" i="97"/>
  <c r="AT863" i="97"/>
  <c r="BJ863" i="97"/>
  <c r="DA863" i="97"/>
  <c r="GG863" i="97"/>
  <c r="EE864" i="97"/>
  <c r="DA867" i="97"/>
  <c r="EF869" i="97"/>
  <c r="HW873" i="97"/>
  <c r="FK873" i="97"/>
  <c r="CN873" i="97"/>
  <c r="LS873" i="97"/>
  <c r="HP873" i="97"/>
  <c r="EN873" i="97"/>
  <c r="BH873" i="97"/>
  <c r="LL873" i="97"/>
  <c r="GV873" i="97"/>
  <c r="DO873" i="97"/>
  <c r="BC873" i="97"/>
  <c r="AF873" i="97"/>
  <c r="MI878" i="97"/>
  <c r="CB883" i="97"/>
  <c r="JL883" i="97"/>
  <c r="KZ883" i="97"/>
  <c r="MA887" i="97"/>
  <c r="JO887" i="97"/>
  <c r="GT887" i="97"/>
  <c r="FN887" i="97"/>
  <c r="ES887" i="97"/>
  <c r="DK887" i="97"/>
  <c r="BJ887" i="97"/>
  <c r="AO887" i="97"/>
  <c r="LR887" i="97"/>
  <c r="HY887" i="97"/>
  <c r="GI887" i="97"/>
  <c r="FM887" i="97"/>
  <c r="EQ887" i="97"/>
  <c r="DA887" i="97"/>
  <c r="BF887" i="97"/>
  <c r="AK887" i="97"/>
  <c r="HO887" i="97"/>
  <c r="FY887" i="97"/>
  <c r="FC887" i="97"/>
  <c r="EH887" i="97"/>
  <c r="CE887" i="97"/>
  <c r="AY887" i="97"/>
  <c r="AD887" i="97"/>
  <c r="Z887" i="97"/>
  <c r="FB887" i="97"/>
  <c r="AD127" i="78"/>
  <c r="L51" i="68"/>
  <c r="C56" i="86"/>
  <c r="F56" i="86"/>
  <c r="S544" i="97"/>
  <c r="P595" i="97"/>
  <c r="A615" i="97"/>
  <c r="MF851" i="97"/>
  <c r="L854" i="97"/>
  <c r="AJ857" i="97"/>
  <c r="AD858" i="97"/>
  <c r="BZ858" i="97"/>
  <c r="EK858" i="97"/>
  <c r="GW858" i="97"/>
  <c r="AC859" i="97"/>
  <c r="BN859" i="97"/>
  <c r="DJ859" i="97"/>
  <c r="FI859" i="97"/>
  <c r="HJ859" i="97"/>
  <c r="AG861" i="97"/>
  <c r="DA861" i="97"/>
  <c r="EK861" i="97"/>
  <c r="GD861" i="97"/>
  <c r="A863" i="97"/>
  <c r="AD863" i="97"/>
  <c r="AX863" i="97"/>
  <c r="BS863" i="97"/>
  <c r="DV863" i="97"/>
  <c r="LJ863" i="97"/>
  <c r="EW864" i="97"/>
  <c r="IU865" i="97"/>
  <c r="IK865" i="97"/>
  <c r="CQ865" i="97"/>
  <c r="BK865" i="97"/>
  <c r="GI869" i="97"/>
  <c r="MQ870" i="97"/>
  <c r="DH873" i="97"/>
  <c r="IA877" i="97"/>
  <c r="FD881" i="97"/>
  <c r="DA881" i="97"/>
  <c r="HI881" i="97"/>
  <c r="CC881" i="97"/>
  <c r="AV881" i="97"/>
  <c r="FD883" i="97"/>
  <c r="CN884" i="97"/>
  <c r="AU887" i="97"/>
  <c r="FW887" i="97"/>
  <c r="Q1022" i="97"/>
  <c r="GG866" i="97"/>
  <c r="AO867" i="97"/>
  <c r="DV867" i="97"/>
  <c r="GH867" i="97"/>
  <c r="LZ867" i="97"/>
  <c r="BN868" i="97"/>
  <c r="DR868" i="97"/>
  <c r="FB868" i="97"/>
  <c r="LG868" i="97"/>
  <c r="BW870" i="97"/>
  <c r="DS870" i="97"/>
  <c r="FT870" i="97"/>
  <c r="IQ870" i="97"/>
  <c r="KU870" i="97"/>
  <c r="DC871" i="97"/>
  <c r="JB871" i="97"/>
  <c r="KE872" i="97"/>
  <c r="DP875" i="97"/>
  <c r="IM875" i="97"/>
  <c r="JP875" i="97"/>
  <c r="KR875" i="97"/>
  <c r="GJ877" i="97"/>
  <c r="AR877" i="97"/>
  <c r="CI877" i="97"/>
  <c r="DT877" i="97"/>
  <c r="FD877" i="97"/>
  <c r="GZ877" i="97"/>
  <c r="KQ878" i="97"/>
  <c r="ID878" i="97"/>
  <c r="EN879" i="97"/>
  <c r="KZ879" i="97"/>
  <c r="ID879" i="97"/>
  <c r="JH879" i="97"/>
  <c r="KV879" i="97"/>
  <c r="IB880" i="97"/>
  <c r="DH883" i="97"/>
  <c r="AC884" i="97"/>
  <c r="FP884" i="97"/>
  <c r="DY885" i="97"/>
  <c r="DQ886" i="97"/>
  <c r="A887" i="97"/>
  <c r="I1022" i="97"/>
  <c r="M1022" i="97"/>
  <c r="K1026" i="97"/>
  <c r="K1035" i="97"/>
  <c r="O1035" i="97"/>
  <c r="I1049" i="97"/>
  <c r="K1049" i="97"/>
  <c r="ML864" i="97"/>
  <c r="HC867" i="97"/>
  <c r="DD868" i="97"/>
  <c r="BT868" i="97"/>
  <c r="DZ868" i="97"/>
  <c r="FW868" i="97"/>
  <c r="LO868" i="97"/>
  <c r="AL870" i="97"/>
  <c r="CM870" i="97"/>
  <c r="ED870" i="97"/>
  <c r="FZ870" i="97"/>
  <c r="JJ870" i="97"/>
  <c r="LN870" i="97"/>
  <c r="DP871" i="97"/>
  <c r="JJ871" i="97"/>
  <c r="DF872" i="97"/>
  <c r="LT872" i="97"/>
  <c r="JS875" i="97"/>
  <c r="KV875" i="97"/>
  <c r="GY876" i="97"/>
  <c r="DD877" i="97"/>
  <c r="BH877" i="97"/>
  <c r="CR877" i="97"/>
  <c r="DX877" i="97"/>
  <c r="FP877" i="97"/>
  <c r="HG877" i="97"/>
  <c r="FX878" i="97"/>
  <c r="IQ878" i="97"/>
  <c r="CB879" i="97"/>
  <c r="IJ879" i="97"/>
  <c r="JT879" i="97"/>
  <c r="EB880" i="97"/>
  <c r="IJ880" i="97"/>
  <c r="BI884" i="97"/>
  <c r="AW885" i="97"/>
  <c r="FU885" i="97"/>
  <c r="P962" i="97"/>
  <c r="K1022" i="97"/>
  <c r="O1022" i="97"/>
  <c r="N1673" i="97"/>
  <c r="JQ864" i="97"/>
  <c r="KA865" i="97"/>
  <c r="CE867" i="97"/>
  <c r="EQ867" i="97"/>
  <c r="AJ868" i="97"/>
  <c r="CP868" i="97"/>
  <c r="EF868" i="97"/>
  <c r="DD869" i="97"/>
  <c r="KQ869" i="97"/>
  <c r="AV870" i="97"/>
  <c r="CP870" i="97"/>
  <c r="ET870" i="97"/>
  <c r="HK870" i="97"/>
  <c r="JT870" i="97"/>
  <c r="IB871" i="97"/>
  <c r="MN875" i="97"/>
  <c r="GV875" i="97"/>
  <c r="IB875" i="97"/>
  <c r="JC875" i="97"/>
  <c r="AF877" i="97"/>
  <c r="BL877" i="97"/>
  <c r="CY877" i="97"/>
  <c r="EN877" i="97"/>
  <c r="GA877" i="97"/>
  <c r="GA878" i="97"/>
  <c r="KQ879" i="97"/>
  <c r="DH879" i="97"/>
  <c r="IN879" i="97"/>
  <c r="BM885" i="97"/>
  <c r="GK885" i="97"/>
  <c r="LH887" i="97"/>
  <c r="L2015" i="97"/>
  <c r="S146" i="78"/>
  <c r="D41" i="78"/>
  <c r="E38" i="78"/>
  <c r="F40" i="78"/>
  <c r="J183" i="78"/>
  <c r="E39" i="78"/>
  <c r="Z49" i="75"/>
  <c r="M56" i="75" s="1"/>
  <c r="AD49" i="75"/>
  <c r="L57" i="75" s="1"/>
  <c r="B442" i="91" s="1"/>
  <c r="AH49" i="75"/>
  <c r="K58" i="75" s="1"/>
  <c r="P58" i="75" s="1"/>
  <c r="AL49" i="75"/>
  <c r="O58" i="75" s="1"/>
  <c r="AP49" i="75"/>
  <c r="N59" i="75" s="1"/>
  <c r="AT49" i="75"/>
  <c r="M60" i="75" s="1"/>
  <c r="G29" i="95" s="1"/>
  <c r="AX49" i="75"/>
  <c r="L61" i="75" s="1"/>
  <c r="F30" i="95" s="1"/>
  <c r="BB49" i="75"/>
  <c r="K62" i="75" s="1"/>
  <c r="BF49" i="75"/>
  <c r="O62" i="75" s="1"/>
  <c r="BJ49" i="75"/>
  <c r="N64" i="75" s="1"/>
  <c r="BN49" i="75"/>
  <c r="M99" i="75" s="1"/>
  <c r="BR49" i="75"/>
  <c r="L98" i="75" s="1"/>
  <c r="BV49" i="75"/>
  <c r="K97" i="75" s="1"/>
  <c r="BZ49" i="75"/>
  <c r="O97" i="75" s="1"/>
  <c r="CD49" i="75"/>
  <c r="N96" i="75" s="1"/>
  <c r="CH49" i="75"/>
  <c r="M95" i="75" s="1"/>
  <c r="CL49" i="75"/>
  <c r="L94" i="75" s="1"/>
  <c r="CP49" i="75"/>
  <c r="K93" i="75" s="1"/>
  <c r="CT49" i="75"/>
  <c r="O93" i="75" s="1"/>
  <c r="CX49" i="75"/>
  <c r="N110" i="75" s="1"/>
  <c r="DB49" i="75"/>
  <c r="M109" i="75" s="1"/>
  <c r="DF49" i="75"/>
  <c r="L108" i="75" s="1"/>
  <c r="DJ49" i="75"/>
  <c r="K107" i="75" s="1"/>
  <c r="DN49" i="75"/>
  <c r="O107" i="75" s="1"/>
  <c r="DR49" i="75"/>
  <c r="N106" i="75" s="1"/>
  <c r="DV49" i="75"/>
  <c r="M105" i="75" s="1"/>
  <c r="DZ49" i="75"/>
  <c r="L104" i="75" s="1"/>
  <c r="ED49" i="75"/>
  <c r="K66" i="75" s="1"/>
  <c r="EH49" i="75"/>
  <c r="O66" i="75" s="1"/>
  <c r="EL49" i="75"/>
  <c r="N157" i="75" s="1"/>
  <c r="EP49" i="75"/>
  <c r="M158" i="75" s="1"/>
  <c r="ET49" i="75"/>
  <c r="L159" i="75" s="1"/>
  <c r="EX49" i="75"/>
  <c r="K160" i="75" s="1"/>
  <c r="FB49" i="75"/>
  <c r="O160" i="75" s="1"/>
  <c r="FF49" i="75"/>
  <c r="N161" i="75" s="1"/>
  <c r="FJ49" i="75"/>
  <c r="M162" i="75" s="1"/>
  <c r="FN49" i="75"/>
  <c r="L163" i="75" s="1"/>
  <c r="FR49" i="75"/>
  <c r="K165" i="75" s="1"/>
  <c r="FV49" i="75"/>
  <c r="O165" i="75" s="1"/>
  <c r="FZ49" i="75"/>
  <c r="GD49" i="75"/>
  <c r="M167" i="75" s="1"/>
  <c r="GH49" i="75"/>
  <c r="L113" i="75" s="1"/>
  <c r="GL49" i="75"/>
  <c r="K114" i="75" s="1"/>
  <c r="GP49" i="75"/>
  <c r="O114" i="75" s="1"/>
  <c r="GT49" i="75"/>
  <c r="GX49" i="75"/>
  <c r="M116" i="75" s="1"/>
  <c r="HB49" i="75"/>
  <c r="L117" i="75" s="1"/>
  <c r="HF49" i="75"/>
  <c r="HJ49" i="75"/>
  <c r="HN49" i="75"/>
  <c r="N119" i="75" s="1"/>
  <c r="HR49" i="75"/>
  <c r="M120" i="75" s="1"/>
  <c r="HV49" i="75"/>
  <c r="HZ49" i="75"/>
  <c r="J20" i="75"/>
  <c r="L20" i="75" s="1"/>
  <c r="M20" i="75" s="1"/>
  <c r="J18" i="75"/>
  <c r="J858" i="97" s="1"/>
  <c r="L858" i="97" s="1"/>
  <c r="J19" i="75"/>
  <c r="C22" i="74"/>
  <c r="C1118" i="97" s="1"/>
  <c r="M1751" i="97"/>
  <c r="H220" i="72"/>
  <c r="P33" i="72"/>
  <c r="P1752" i="97" s="1"/>
  <c r="E15" i="89"/>
  <c r="A1" i="87"/>
  <c r="A2" i="83"/>
  <c r="C1" i="86"/>
  <c r="H1" i="95"/>
  <c r="U622" i="97"/>
  <c r="A622" i="97"/>
  <c r="U646" i="97"/>
  <c r="A646" i="97"/>
  <c r="MO851" i="97"/>
  <c r="IV851" i="97"/>
  <c r="MJ854" i="97"/>
  <c r="KS854" i="97"/>
  <c r="JB854" i="97"/>
  <c r="HL854" i="97"/>
  <c r="FU854" i="97"/>
  <c r="ED854" i="97"/>
  <c r="CN854" i="97"/>
  <c r="AW854" i="97"/>
  <c r="LY854" i="97"/>
  <c r="KH854" i="97"/>
  <c r="IR854" i="97"/>
  <c r="HA854" i="97"/>
  <c r="FJ854" i="97"/>
  <c r="DT854" i="97"/>
  <c r="CC854" i="97"/>
  <c r="AL854" i="97"/>
  <c r="CX854" i="97"/>
  <c r="GF854" i="97"/>
  <c r="JM854" i="97"/>
  <c r="MT854" i="97"/>
  <c r="MR855" i="97"/>
  <c r="IG855" i="97"/>
  <c r="JB855" i="97"/>
  <c r="JX855" i="97"/>
  <c r="KS855" i="97"/>
  <c r="MK855" i="97"/>
  <c r="MP857" i="97"/>
  <c r="KX862" i="97"/>
  <c r="JG862" i="97"/>
  <c r="HQ862" i="97"/>
  <c r="FI862" i="97"/>
  <c r="EC862" i="97"/>
  <c r="BQ862" i="97"/>
  <c r="AK862" i="97"/>
  <c r="IW862" i="97"/>
  <c r="GK862" i="97"/>
  <c r="EK862" i="97"/>
  <c r="BI862" i="97"/>
  <c r="KM862" i="97"/>
  <c r="IL862" i="97"/>
  <c r="FQ862" i="97"/>
  <c r="DU862" i="97"/>
  <c r="BA862" i="97"/>
  <c r="MO862" i="97"/>
  <c r="KC862" i="97"/>
  <c r="IA862" i="97"/>
  <c r="FA862" i="97"/>
  <c r="CW862" i="97"/>
  <c r="AS862" i="97"/>
  <c r="AC862" i="97"/>
  <c r="JR862" i="97"/>
  <c r="JZ863" i="97"/>
  <c r="IC863" i="97"/>
  <c r="JE863" i="97"/>
  <c r="IT863" i="97"/>
  <c r="IB868" i="97"/>
  <c r="IA868" i="97"/>
  <c r="HZ868" i="97"/>
  <c r="MS874" i="97"/>
  <c r="MN874" i="97"/>
  <c r="LW874" i="97"/>
  <c r="KZ874" i="97"/>
  <c r="KE874" i="97"/>
  <c r="JK874" i="97"/>
  <c r="IN874" i="97"/>
  <c r="IB874" i="97"/>
  <c r="HO874" i="97"/>
  <c r="GU874" i="97"/>
  <c r="GE874" i="97"/>
  <c r="FS874" i="97"/>
  <c r="EY874" i="97"/>
  <c r="EE874" i="97"/>
  <c r="DL874" i="97"/>
  <c r="CQ874" i="97"/>
  <c r="BW874" i="97"/>
  <c r="AZ874" i="97"/>
  <c r="AE874" i="97"/>
  <c r="MF874" i="97"/>
  <c r="KA874" i="97"/>
  <c r="IY874" i="97"/>
  <c r="ID874" i="97"/>
  <c r="HK874" i="97"/>
  <c r="GI874" i="97"/>
  <c r="FW874" i="97"/>
  <c r="ER874" i="97"/>
  <c r="DW874" i="97"/>
  <c r="CV874" i="97"/>
  <c r="BP874" i="97"/>
  <c r="AQ874" i="97"/>
  <c r="MA874" i="97"/>
  <c r="KU874" i="97"/>
  <c r="JT874" i="97"/>
  <c r="IU874" i="97"/>
  <c r="IA874" i="97"/>
  <c r="HD874" i="97"/>
  <c r="GF874" i="97"/>
  <c r="FO874" i="97"/>
  <c r="EM874" i="97"/>
  <c r="DS874" i="97"/>
  <c r="CM874" i="97"/>
  <c r="BK874" i="97"/>
  <c r="AJ874" i="97"/>
  <c r="JD874" i="97"/>
  <c r="HT874" i="97"/>
  <c r="FX874" i="97"/>
  <c r="EB874" i="97"/>
  <c r="CA874" i="97"/>
  <c r="MQ874" i="97"/>
  <c r="KQ874" i="97"/>
  <c r="II874" i="97"/>
  <c r="GY874" i="97"/>
  <c r="FH874" i="97"/>
  <c r="DG874" i="97"/>
  <c r="BG874" i="97"/>
  <c r="MM874" i="97"/>
  <c r="KJ874" i="97"/>
  <c r="IE874" i="97"/>
  <c r="GN874" i="97"/>
  <c r="FC874" i="97"/>
  <c r="DC874" i="97"/>
  <c r="AU874" i="97"/>
  <c r="AA874" i="97"/>
  <c r="HZ874" i="97"/>
  <c r="ID49" i="75"/>
  <c r="IH49" i="75"/>
  <c r="N136" i="75" s="1"/>
  <c r="IL49" i="75"/>
  <c r="M137" i="75" s="1"/>
  <c r="IP49" i="75"/>
  <c r="L142" i="75" s="1"/>
  <c r="L147" i="75" s="1"/>
  <c r="IT49" i="75"/>
  <c r="K143" i="75" s="1"/>
  <c r="K148" i="75" s="1"/>
  <c r="IX49" i="75"/>
  <c r="O143" i="75" s="1"/>
  <c r="JB49" i="75"/>
  <c r="N140" i="75" s="1"/>
  <c r="JF49" i="75"/>
  <c r="M141" i="75" s="1"/>
  <c r="P141" i="75" s="1"/>
  <c r="JJ49" i="75"/>
  <c r="L138" i="75" s="1"/>
  <c r="L149" i="75" s="1"/>
  <c r="F1289" i="97" s="1"/>
  <c r="JN49" i="75"/>
  <c r="K139" i="75" s="1"/>
  <c r="JR49" i="75"/>
  <c r="O139" i="75" s="1"/>
  <c r="O150" i="75" s="1"/>
  <c r="JV49" i="75"/>
  <c r="N128" i="75" s="1"/>
  <c r="JZ49" i="75"/>
  <c r="M130" i="75" s="1"/>
  <c r="KD49" i="75"/>
  <c r="L129" i="75" s="1"/>
  <c r="KH49" i="75"/>
  <c r="K131" i="75" s="1"/>
  <c r="KL49" i="75"/>
  <c r="O131" i="75" s="1"/>
  <c r="KP49" i="75"/>
  <c r="N132" i="75" s="1"/>
  <c r="KT49" i="75"/>
  <c r="M134" i="75" s="1"/>
  <c r="KX49" i="75"/>
  <c r="L133" i="75" s="1"/>
  <c r="LB49" i="75"/>
  <c r="K135" i="75" s="1"/>
  <c r="K154" i="75" s="1"/>
  <c r="LF49" i="75"/>
  <c r="O135" i="75" s="1"/>
  <c r="LJ49" i="75"/>
  <c r="LN49" i="75"/>
  <c r="LR49" i="75"/>
  <c r="LV49" i="75"/>
  <c r="LZ49" i="75"/>
  <c r="MD49" i="75"/>
  <c r="MH49" i="75"/>
  <c r="P236" i="75" s="1"/>
  <c r="ML49" i="75"/>
  <c r="MP49" i="75"/>
  <c r="MT49" i="75"/>
  <c r="E40" i="78"/>
  <c r="J146" i="78"/>
  <c r="J162" i="78" s="1"/>
  <c r="J164" i="78" s="1"/>
  <c r="J166" i="78" s="1"/>
  <c r="V146" i="78"/>
  <c r="AA49" i="75"/>
  <c r="N56" i="75" s="1"/>
  <c r="AE49" i="75"/>
  <c r="M57" i="75" s="1"/>
  <c r="G26" i="95" s="1"/>
  <c r="AI49" i="75"/>
  <c r="L58" i="75" s="1"/>
  <c r="B363" i="91" s="1"/>
  <c r="AM49" i="75"/>
  <c r="K59" i="75" s="1"/>
  <c r="AQ49" i="75"/>
  <c r="O59" i="75" s="1"/>
  <c r="AU49" i="75"/>
  <c r="N60" i="75" s="1"/>
  <c r="N63" i="75" s="1"/>
  <c r="AY49" i="75"/>
  <c r="M61" i="75" s="1"/>
  <c r="G30" i="95" s="1"/>
  <c r="BC49" i="75"/>
  <c r="L62" i="75" s="1"/>
  <c r="BG49" i="75"/>
  <c r="K64" i="75" s="1"/>
  <c r="BK49" i="75"/>
  <c r="O64" i="75" s="1"/>
  <c r="BO49" i="75"/>
  <c r="N99" i="75" s="1"/>
  <c r="BS49" i="75"/>
  <c r="M98" i="75" s="1"/>
  <c r="BW49" i="75"/>
  <c r="L97" i="75" s="1"/>
  <c r="CA49" i="75"/>
  <c r="K96" i="75" s="1"/>
  <c r="CE49" i="75"/>
  <c r="O96" i="75" s="1"/>
  <c r="CI49" i="75"/>
  <c r="N95" i="75" s="1"/>
  <c r="CM49" i="75"/>
  <c r="M94" i="75" s="1"/>
  <c r="CQ49" i="75"/>
  <c r="L93" i="75" s="1"/>
  <c r="CU49" i="75"/>
  <c r="K110" i="75" s="1"/>
  <c r="P110" i="75" s="1"/>
  <c r="CY49" i="75"/>
  <c r="O110" i="75" s="1"/>
  <c r="DC49" i="75"/>
  <c r="N109" i="75" s="1"/>
  <c r="DG49" i="75"/>
  <c r="M108" i="75" s="1"/>
  <c r="DK49" i="75"/>
  <c r="L107" i="75" s="1"/>
  <c r="DO49" i="75"/>
  <c r="K106" i="75" s="1"/>
  <c r="DS49" i="75"/>
  <c r="O106" i="75" s="1"/>
  <c r="DW49" i="75"/>
  <c r="N105" i="75" s="1"/>
  <c r="EA49" i="75"/>
  <c r="M104" i="75" s="1"/>
  <c r="EE49" i="75"/>
  <c r="L66" i="75" s="1"/>
  <c r="EI49" i="75"/>
  <c r="K157" i="75" s="1"/>
  <c r="EM49" i="75"/>
  <c r="O157" i="75" s="1"/>
  <c r="EQ49" i="75"/>
  <c r="N158" i="75" s="1"/>
  <c r="EU49" i="75"/>
  <c r="M159" i="75" s="1"/>
  <c r="EY49" i="75"/>
  <c r="L160" i="75" s="1"/>
  <c r="FC49" i="75"/>
  <c r="K161" i="75" s="1"/>
  <c r="FG49" i="75"/>
  <c r="O161" i="75" s="1"/>
  <c r="FK49" i="75"/>
  <c r="N162" i="75" s="1"/>
  <c r="FO49" i="75"/>
  <c r="M163" i="75" s="1"/>
  <c r="FS49" i="75"/>
  <c r="L165" i="75" s="1"/>
  <c r="FW49" i="75"/>
  <c r="GA49" i="75"/>
  <c r="GE49" i="75"/>
  <c r="N167" i="75" s="1"/>
  <c r="GI49" i="75"/>
  <c r="M113" i="75" s="1"/>
  <c r="M115" i="75" s="1"/>
  <c r="GM49" i="75"/>
  <c r="L114" i="75" s="1"/>
  <c r="GQ49" i="75"/>
  <c r="GU49" i="75"/>
  <c r="GY49" i="75"/>
  <c r="N116" i="75" s="1"/>
  <c r="N118" i="75" s="1"/>
  <c r="HC49" i="75"/>
  <c r="M117" i="75" s="1"/>
  <c r="HG49" i="75"/>
  <c r="HK49" i="75"/>
  <c r="K119" i="75" s="1"/>
  <c r="HO49" i="75"/>
  <c r="O119" i="75" s="1"/>
  <c r="O121" i="75" s="1"/>
  <c r="HS49" i="75"/>
  <c r="N120" i="75" s="1"/>
  <c r="HW49" i="75"/>
  <c r="IA49" i="75"/>
  <c r="IE49" i="75"/>
  <c r="K136" i="75" s="1"/>
  <c r="II49" i="75"/>
  <c r="O136" i="75" s="1"/>
  <c r="IM49" i="75"/>
  <c r="N137" i="75" s="1"/>
  <c r="IQ49" i="75"/>
  <c r="M142" i="75" s="1"/>
  <c r="IU49" i="75"/>
  <c r="L143" i="75" s="1"/>
  <c r="IY49" i="75"/>
  <c r="K140" i="75" s="1"/>
  <c r="JC49" i="75"/>
  <c r="O140" i="75" s="1"/>
  <c r="JG49" i="75"/>
  <c r="N141" i="75" s="1"/>
  <c r="JK49" i="75"/>
  <c r="M138" i="75" s="1"/>
  <c r="M149" i="75" s="1"/>
  <c r="F1290" i="97" s="1"/>
  <c r="JO49" i="75"/>
  <c r="L139" i="75" s="1"/>
  <c r="L150" i="75" s="1"/>
  <c r="K1289" i="97" s="1"/>
  <c r="JS49" i="75"/>
  <c r="K128" i="75" s="1"/>
  <c r="JW49" i="75"/>
  <c r="O128" i="75" s="1"/>
  <c r="KA49" i="75"/>
  <c r="N130" i="75" s="1"/>
  <c r="KE49" i="75"/>
  <c r="M129" i="75" s="1"/>
  <c r="M152" i="75" s="1"/>
  <c r="KI49" i="75"/>
  <c r="L131" i="75" s="1"/>
  <c r="KM49" i="75"/>
  <c r="K132" i="75" s="1"/>
  <c r="KQ49" i="75"/>
  <c r="O132" i="75" s="1"/>
  <c r="O151" i="75" s="1"/>
  <c r="KU49" i="75"/>
  <c r="N134" i="75" s="1"/>
  <c r="KY49" i="75"/>
  <c r="M133" i="75" s="1"/>
  <c r="LC49" i="75"/>
  <c r="L135" i="75" s="1"/>
  <c r="LG49" i="75"/>
  <c r="LK49" i="75"/>
  <c r="LO49" i="75"/>
  <c r="LS49" i="75"/>
  <c r="LW49" i="75"/>
  <c r="MA49" i="75"/>
  <c r="ME49" i="75"/>
  <c r="MI49" i="75"/>
  <c r="MM49" i="75"/>
  <c r="MQ49" i="75"/>
  <c r="Q238" i="75" s="1"/>
  <c r="L32" i="75"/>
  <c r="M32" i="75" s="1"/>
  <c r="L39" i="75"/>
  <c r="M39" i="75" s="1"/>
  <c r="L48" i="75"/>
  <c r="M48" i="75" s="1"/>
  <c r="D14" i="74"/>
  <c r="E14" i="74" s="1"/>
  <c r="E22" i="74" s="1"/>
  <c r="J84" i="72"/>
  <c r="F12" i="85"/>
  <c r="C28" i="90"/>
  <c r="G5" i="92" s="1"/>
  <c r="M527" i="97"/>
  <c r="S531" i="97"/>
  <c r="S576" i="97"/>
  <c r="G647" i="97"/>
  <c r="J662" i="97"/>
  <c r="J666" i="97" s="1"/>
  <c r="I813" i="97"/>
  <c r="M813" i="97"/>
  <c r="JT851" i="97"/>
  <c r="JZ853" i="97"/>
  <c r="IJ853" i="97"/>
  <c r="LF853" i="97"/>
  <c r="JP853" i="97"/>
  <c r="FX853" i="97"/>
  <c r="KK853" i="97"/>
  <c r="AB854" i="97"/>
  <c r="DI854" i="97"/>
  <c r="GP854" i="97"/>
  <c r="JX854" i="97"/>
  <c r="IN855" i="97"/>
  <c r="JI855" i="97"/>
  <c r="KD855" i="97"/>
  <c r="KZ855" i="97"/>
  <c r="MT855" i="97"/>
  <c r="ML856" i="97"/>
  <c r="IX856" i="97"/>
  <c r="AV857" i="97"/>
  <c r="CL857" i="97"/>
  <c r="EC857" i="97"/>
  <c r="IW857" i="97"/>
  <c r="CO862" i="97"/>
  <c r="LS862" i="97"/>
  <c r="KU863" i="97"/>
  <c r="ML863" i="97"/>
  <c r="LZ864" i="97"/>
  <c r="LR864" i="97"/>
  <c r="HW864" i="97"/>
  <c r="HO864" i="97"/>
  <c r="HI864" i="97"/>
  <c r="HB864" i="97"/>
  <c r="GT864" i="97"/>
  <c r="LW864" i="97"/>
  <c r="HN864" i="97"/>
  <c r="GY864" i="97"/>
  <c r="GM864" i="97"/>
  <c r="LV864" i="97"/>
  <c r="HM864" i="97"/>
  <c r="GX864" i="97"/>
  <c r="GL864" i="97"/>
  <c r="ME864" i="97"/>
  <c r="LQ864" i="97"/>
  <c r="HU864" i="97"/>
  <c r="HG864" i="97"/>
  <c r="GS864" i="97"/>
  <c r="GI864" i="97"/>
  <c r="GQ864" i="97"/>
  <c r="CF874" i="97"/>
  <c r="JO874" i="97"/>
  <c r="L44" i="75"/>
  <c r="M44" i="75" s="1"/>
  <c r="L395" i="72"/>
  <c r="P62" i="72"/>
  <c r="P61" i="72" s="1"/>
  <c r="A123" i="75"/>
  <c r="U519" i="97"/>
  <c r="M539" i="97"/>
  <c r="G617" i="97"/>
  <c r="S647" i="97"/>
  <c r="KB851" i="97"/>
  <c r="KJ852" i="97"/>
  <c r="IS852" i="97"/>
  <c r="MK852" i="97"/>
  <c r="JY852" i="97"/>
  <c r="IH852" i="97"/>
  <c r="KT852" i="97"/>
  <c r="EG853" i="97"/>
  <c r="KV853" i="97"/>
  <c r="BH854" i="97"/>
  <c r="EO854" i="97"/>
  <c r="HV854" i="97"/>
  <c r="LD854" i="97"/>
  <c r="MP855" i="97"/>
  <c r="IR855" i="97"/>
  <c r="JM855" i="97"/>
  <c r="KH855" i="97"/>
  <c r="LD855" i="97"/>
  <c r="KD856" i="97"/>
  <c r="BE857" i="97"/>
  <c r="CV857" i="97"/>
  <c r="EL857" i="97"/>
  <c r="GN857" i="97"/>
  <c r="JM857" i="97"/>
  <c r="IC860" i="97"/>
  <c r="JI860" i="97"/>
  <c r="FQ860" i="97"/>
  <c r="EK860" i="97"/>
  <c r="AS860" i="97"/>
  <c r="ES862" i="97"/>
  <c r="HE864" i="97"/>
  <c r="HR867" i="97"/>
  <c r="GW867" i="97"/>
  <c r="HN867" i="97"/>
  <c r="GS867" i="97"/>
  <c r="ME867" i="97"/>
  <c r="HG867" i="97"/>
  <c r="GL867" i="97"/>
  <c r="HY867" i="97"/>
  <c r="EI874" i="97"/>
  <c r="LP874" i="97"/>
  <c r="P146" i="78"/>
  <c r="P162" i="78" s="1"/>
  <c r="P164" i="78" s="1"/>
  <c r="P166" i="78" s="1"/>
  <c r="AD123" i="78"/>
  <c r="AD124" i="78" s="1"/>
  <c r="F125" i="78"/>
  <c r="A49" i="75"/>
  <c r="A6" i="75" s="1"/>
  <c r="Y49" i="75"/>
  <c r="L56" i="75" s="1"/>
  <c r="AC49" i="75"/>
  <c r="K57" i="75" s="1"/>
  <c r="B425" i="91" s="1"/>
  <c r="AG49" i="75"/>
  <c r="O57" i="75" s="1"/>
  <c r="I26" i="95" s="1"/>
  <c r="AK49" i="75"/>
  <c r="N58" i="75" s="1"/>
  <c r="AO49" i="75"/>
  <c r="M59" i="75" s="1"/>
  <c r="AS49" i="75"/>
  <c r="L60" i="75" s="1"/>
  <c r="F29" i="95" s="1"/>
  <c r="AW49" i="75"/>
  <c r="K61" i="75" s="1"/>
  <c r="P61" i="75" s="1"/>
  <c r="BA49" i="75"/>
  <c r="O61" i="75" s="1"/>
  <c r="BE49" i="75"/>
  <c r="N62" i="75" s="1"/>
  <c r="BI49" i="75"/>
  <c r="M64" i="75" s="1"/>
  <c r="P64" i="75" s="1"/>
  <c r="BM49" i="75"/>
  <c r="L99" i="75" s="1"/>
  <c r="P99" i="75" s="1"/>
  <c r="BQ49" i="75"/>
  <c r="K98" i="75" s="1"/>
  <c r="BU49" i="75"/>
  <c r="O98" i="75" s="1"/>
  <c r="BY49" i="75"/>
  <c r="N97" i="75" s="1"/>
  <c r="CC49" i="75"/>
  <c r="M96" i="75" s="1"/>
  <c r="M100" i="75" s="1"/>
  <c r="CG49" i="75"/>
  <c r="L95" i="75" s="1"/>
  <c r="CK49" i="75"/>
  <c r="K94" i="75" s="1"/>
  <c r="CO49" i="75"/>
  <c r="O94" i="75" s="1"/>
  <c r="CS49" i="75"/>
  <c r="N93" i="75" s="1"/>
  <c r="N100" i="75" s="1"/>
  <c r="CW49" i="75"/>
  <c r="M110" i="75" s="1"/>
  <c r="DA49" i="75"/>
  <c r="L109" i="75" s="1"/>
  <c r="DE49" i="75"/>
  <c r="K108" i="75" s="1"/>
  <c r="DI49" i="75"/>
  <c r="O108" i="75" s="1"/>
  <c r="O111" i="75" s="1"/>
  <c r="DM49" i="75"/>
  <c r="N107" i="75" s="1"/>
  <c r="DQ49" i="75"/>
  <c r="M106" i="75" s="1"/>
  <c r="DU49" i="75"/>
  <c r="L105" i="75" s="1"/>
  <c r="DY49" i="75"/>
  <c r="K104" i="75" s="1"/>
  <c r="EC49" i="75"/>
  <c r="O104" i="75" s="1"/>
  <c r="EG49" i="75"/>
  <c r="N66" i="75" s="1"/>
  <c r="EK49" i="75"/>
  <c r="M157" i="75" s="1"/>
  <c r="EO49" i="75"/>
  <c r="L158" i="75" s="1"/>
  <c r="P158" i="75" s="1"/>
  <c r="ES49" i="75"/>
  <c r="K159" i="75" s="1"/>
  <c r="EW49" i="75"/>
  <c r="O159" i="75" s="1"/>
  <c r="FA49" i="75"/>
  <c r="N160" i="75" s="1"/>
  <c r="FE49" i="75"/>
  <c r="M161" i="75" s="1"/>
  <c r="FI49" i="75"/>
  <c r="L162" i="75" s="1"/>
  <c r="FM49" i="75"/>
  <c r="K163" i="75" s="1"/>
  <c r="FQ49" i="75"/>
  <c r="O163" i="75" s="1"/>
  <c r="P163" i="75" s="1"/>
  <c r="FU49" i="75"/>
  <c r="N165" i="75" s="1"/>
  <c r="FY49" i="75"/>
  <c r="GC49" i="75"/>
  <c r="L167" i="75" s="1"/>
  <c r="GG49" i="75"/>
  <c r="K113" i="75" s="1"/>
  <c r="GK49" i="75"/>
  <c r="O113" i="75" s="1"/>
  <c r="O115" i="75" s="1"/>
  <c r="GO49" i="75"/>
  <c r="N114" i="75" s="1"/>
  <c r="GS49" i="75"/>
  <c r="GW49" i="75"/>
  <c r="L116" i="75" s="1"/>
  <c r="HA49" i="75"/>
  <c r="K117" i="75" s="1"/>
  <c r="HE49" i="75"/>
  <c r="O117" i="75" s="1"/>
  <c r="HI49" i="75"/>
  <c r="HM49" i="75"/>
  <c r="M119" i="75" s="1"/>
  <c r="P119" i="75" s="1"/>
  <c r="HQ49" i="75"/>
  <c r="L120" i="75" s="1"/>
  <c r="HU49" i="75"/>
  <c r="HY49" i="75"/>
  <c r="IC49" i="75"/>
  <c r="IG49" i="75"/>
  <c r="M136" i="75" s="1"/>
  <c r="IK49" i="75"/>
  <c r="L137" i="75" s="1"/>
  <c r="IO49" i="75"/>
  <c r="K142" i="75" s="1"/>
  <c r="IS49" i="75"/>
  <c r="O142" i="75" s="1"/>
  <c r="IW49" i="75"/>
  <c r="N143" i="75" s="1"/>
  <c r="N125" i="75" s="1"/>
  <c r="JA49" i="75"/>
  <c r="M140" i="75" s="1"/>
  <c r="JE49" i="75"/>
  <c r="L141" i="75" s="1"/>
  <c r="JI49" i="75"/>
  <c r="K138" i="75" s="1"/>
  <c r="JM49" i="75"/>
  <c r="O138" i="75" s="1"/>
  <c r="O149" i="75" s="1"/>
  <c r="F1292" i="97" s="1"/>
  <c r="JQ49" i="75"/>
  <c r="N139" i="75" s="1"/>
  <c r="N150" i="75" s="1"/>
  <c r="JU49" i="75"/>
  <c r="M128" i="75" s="1"/>
  <c r="JY49" i="75"/>
  <c r="L130" i="75" s="1"/>
  <c r="KC49" i="75"/>
  <c r="K129" i="75" s="1"/>
  <c r="K125" i="75" s="1"/>
  <c r="KG49" i="75"/>
  <c r="O129" i="75" s="1"/>
  <c r="KK49" i="75"/>
  <c r="N131" i="75" s="1"/>
  <c r="KO49" i="75"/>
  <c r="M132" i="75" s="1"/>
  <c r="M151" i="75" s="1"/>
  <c r="KS49" i="75"/>
  <c r="L134" i="75" s="1"/>
  <c r="P134" i="75" s="1"/>
  <c r="KW49" i="75"/>
  <c r="K133" i="75" s="1"/>
  <c r="LA49" i="75"/>
  <c r="O133" i="75" s="1"/>
  <c r="LE49" i="75"/>
  <c r="N135" i="75" s="1"/>
  <c r="LI49" i="75"/>
  <c r="LM49" i="75"/>
  <c r="LQ49" i="75"/>
  <c r="LU49" i="75"/>
  <c r="LY49" i="75"/>
  <c r="MC49" i="75"/>
  <c r="MG49" i="75"/>
  <c r="MK49" i="75"/>
  <c r="MO49" i="75"/>
  <c r="MS49" i="75"/>
  <c r="L31" i="75"/>
  <c r="M31" i="75" s="1"/>
  <c r="L40" i="75"/>
  <c r="M40" i="75" s="1"/>
  <c r="A518" i="97"/>
  <c r="U518" i="97"/>
  <c r="P539" i="97"/>
  <c r="P544" i="97"/>
  <c r="G576" i="97"/>
  <c r="M589" i="97"/>
  <c r="S595" i="97"/>
  <c r="G630" i="97"/>
  <c r="A630" i="97" s="1"/>
  <c r="S630" i="97"/>
  <c r="IN851" i="97"/>
  <c r="KZ851" i="97"/>
  <c r="EF852" i="97"/>
  <c r="LE852" i="97"/>
  <c r="IT853" i="97"/>
  <c r="BR854" i="97"/>
  <c r="EZ854" i="97"/>
  <c r="IG854" i="97"/>
  <c r="LN854" i="97"/>
  <c r="IC855" i="97"/>
  <c r="IX855" i="97"/>
  <c r="JT855" i="97"/>
  <c r="KO855" i="97"/>
  <c r="MF856" i="97"/>
  <c r="KO856" i="97"/>
  <c r="Z857" i="97"/>
  <c r="BQ857" i="97"/>
  <c r="DH857" i="97"/>
  <c r="EX857" i="97"/>
  <c r="LJ857" i="97"/>
  <c r="LF858" i="97"/>
  <c r="JJ858" i="97"/>
  <c r="IC858" i="97"/>
  <c r="KP858" i="97"/>
  <c r="JI858" i="97"/>
  <c r="KO858" i="97"/>
  <c r="LZ859" i="97"/>
  <c r="LM859" i="97"/>
  <c r="LA859" i="97"/>
  <c r="KC859" i="97"/>
  <c r="JF859" i="97"/>
  <c r="IO859" i="97"/>
  <c r="HR859" i="97"/>
  <c r="HB859" i="97"/>
  <c r="GL859" i="97"/>
  <c r="FV859" i="97"/>
  <c r="FM859" i="97"/>
  <c r="FA859" i="97"/>
  <c r="EP859" i="97"/>
  <c r="EG859" i="97"/>
  <c r="DQ859" i="97"/>
  <c r="DA859" i="97"/>
  <c r="CK859" i="97"/>
  <c r="BU859" i="97"/>
  <c r="BF859" i="97"/>
  <c r="AW859" i="97"/>
  <c r="AK859" i="97"/>
  <c r="Z859" i="97"/>
  <c r="LY859" i="97"/>
  <c r="KK859" i="97"/>
  <c r="JE859" i="97"/>
  <c r="HZ859" i="97"/>
  <c r="HI859" i="97"/>
  <c r="GK859" i="97"/>
  <c r="FQ859" i="97"/>
  <c r="FE859" i="97"/>
  <c r="EO859" i="97"/>
  <c r="DY859" i="97"/>
  <c r="DB859" i="97"/>
  <c r="CD859" i="97"/>
  <c r="BM859" i="97"/>
  <c r="AX859" i="97"/>
  <c r="AH859" i="97"/>
  <c r="MP859" i="97"/>
  <c r="LR859" i="97"/>
  <c r="LB859" i="97"/>
  <c r="JV859" i="97"/>
  <c r="IW859" i="97"/>
  <c r="HY859" i="97"/>
  <c r="HA859" i="97"/>
  <c r="GD859" i="97"/>
  <c r="FN859" i="97"/>
  <c r="EX859" i="97"/>
  <c r="EK859" i="97"/>
  <c r="DR859" i="97"/>
  <c r="CT859" i="97"/>
  <c r="CC859" i="97"/>
  <c r="BI859" i="97"/>
  <c r="AS859" i="97"/>
  <c r="AG859" i="97"/>
  <c r="MH859" i="97"/>
  <c r="LQ859" i="97"/>
  <c r="KS859" i="97"/>
  <c r="JU859" i="97"/>
  <c r="Y859" i="97"/>
  <c r="BA859" i="97"/>
  <c r="CL859" i="97"/>
  <c r="DZ859" i="97"/>
  <c r="FF859" i="97"/>
  <c r="GS859" i="97"/>
  <c r="IG859" i="97"/>
  <c r="LJ859" i="97"/>
  <c r="KO860" i="97"/>
  <c r="MC861" i="97"/>
  <c r="LR861" i="97"/>
  <c r="HR861" i="97"/>
  <c r="GT861" i="97"/>
  <c r="HJ861" i="97"/>
  <c r="GS861" i="97"/>
  <c r="LZ861" i="97"/>
  <c r="HI861" i="97"/>
  <c r="GL861" i="97"/>
  <c r="HY861" i="97"/>
  <c r="GU862" i="97"/>
  <c r="HS864" i="97"/>
  <c r="GA874" i="97"/>
  <c r="AK861" i="97"/>
  <c r="AX861" i="97"/>
  <c r="BM861" i="97"/>
  <c r="CK861" i="97"/>
  <c r="DB861" i="97"/>
  <c r="DY861" i="97"/>
  <c r="EP861" i="97"/>
  <c r="FE861" i="97"/>
  <c r="FQ861" i="97"/>
  <c r="IG861" i="97"/>
  <c r="KC861" i="97"/>
  <c r="LJ861" i="97"/>
  <c r="MK863" i="97"/>
  <c r="GH863" i="97"/>
  <c r="GW863" i="97"/>
  <c r="HM863" i="97"/>
  <c r="HY863" i="97"/>
  <c r="LV863" i="97"/>
  <c r="LH864" i="97"/>
  <c r="LK864" i="97"/>
  <c r="DF864" i="97"/>
  <c r="AH864" i="97"/>
  <c r="AS864" i="97"/>
  <c r="BA864" i="97"/>
  <c r="BK864" i="97"/>
  <c r="EP864" i="97"/>
  <c r="FB864" i="97"/>
  <c r="FK864" i="97"/>
  <c r="FS864" i="97"/>
  <c r="IY864" i="97"/>
  <c r="KP864" i="97"/>
  <c r="MK866" i="97"/>
  <c r="KT866" i="97"/>
  <c r="JC866" i="97"/>
  <c r="HM866" i="97"/>
  <c r="FV866" i="97"/>
  <c r="EE866" i="97"/>
  <c r="CO866" i="97"/>
  <c r="AX866" i="97"/>
  <c r="LZ866" i="97"/>
  <c r="KI866" i="97"/>
  <c r="IS866" i="97"/>
  <c r="HB866" i="97"/>
  <c r="FK866" i="97"/>
  <c r="DU866" i="97"/>
  <c r="CD866" i="97"/>
  <c r="AM866" i="97"/>
  <c r="AC866" i="97"/>
  <c r="DJ866" i="97"/>
  <c r="GQ866" i="97"/>
  <c r="JY866" i="97"/>
  <c r="AS867" i="97"/>
  <c r="BN867" i="97"/>
  <c r="CI867" i="97"/>
  <c r="DE867" i="97"/>
  <c r="DZ867" i="97"/>
  <c r="EU867" i="97"/>
  <c r="FQ867" i="97"/>
  <c r="KU867" i="97"/>
  <c r="LV868" i="97"/>
  <c r="HN868" i="97"/>
  <c r="GL868" i="97"/>
  <c r="HG868" i="97"/>
  <c r="MS872" i="97"/>
  <c r="LD872" i="97"/>
  <c r="KU872" i="97"/>
  <c r="KI872" i="97"/>
  <c r="JX872" i="97"/>
  <c r="JO872" i="97"/>
  <c r="JC872" i="97"/>
  <c r="IR872" i="97"/>
  <c r="II872" i="97"/>
  <c r="IA872" i="97"/>
  <c r="FW872" i="97"/>
  <c r="EA872" i="97"/>
  <c r="CM872" i="97"/>
  <c r="AZ872" i="97"/>
  <c r="LC872" i="97"/>
  <c r="KN872" i="97"/>
  <c r="KA872" i="97"/>
  <c r="JK872" i="97"/>
  <c r="IY872" i="97"/>
  <c r="IJ872" i="97"/>
  <c r="HZ872" i="97"/>
  <c r="EV872" i="97"/>
  <c r="DB872" i="97"/>
  <c r="AV872" i="97"/>
  <c r="MR872" i="97"/>
  <c r="KY872" i="97"/>
  <c r="KM872" i="97"/>
  <c r="JW872" i="97"/>
  <c r="JH872" i="97"/>
  <c r="IU872" i="97"/>
  <c r="IE872" i="97"/>
  <c r="HX872" i="97"/>
  <c r="EQ872" i="97"/>
  <c r="CJ872" i="97"/>
  <c r="AI872" i="97"/>
  <c r="FC872" i="97"/>
  <c r="AE872" i="97"/>
  <c r="DS872" i="97"/>
  <c r="ID872" i="97"/>
  <c r="JG872" i="97"/>
  <c r="KF872" i="97"/>
  <c r="MQ872" i="97"/>
  <c r="KJ877" i="97"/>
  <c r="HZ877" i="97"/>
  <c r="JD877" i="97"/>
  <c r="ID877" i="97"/>
  <c r="ES886" i="97"/>
  <c r="I95" i="97"/>
  <c r="G521" i="97"/>
  <c r="S521" i="97"/>
  <c r="P521" i="97"/>
  <c r="M521" i="97"/>
  <c r="G527" i="97"/>
  <c r="S623" i="97"/>
  <c r="J630" i="97"/>
  <c r="J647" i="97"/>
  <c r="MR851" i="97"/>
  <c r="JD851" i="97"/>
  <c r="KJ851" i="97"/>
  <c r="MN851" i="97"/>
  <c r="IH855" i="97"/>
  <c r="IS855" i="97"/>
  <c r="JD855" i="97"/>
  <c r="JN855" i="97"/>
  <c r="JY855" i="97"/>
  <c r="KJ855" i="97"/>
  <c r="KT855" i="97"/>
  <c r="LE855" i="97"/>
  <c r="MO855" i="97"/>
  <c r="JI856" i="97"/>
  <c r="KZ856" i="97"/>
  <c r="MG857" i="97"/>
  <c r="LY857" i="97"/>
  <c r="KC857" i="97"/>
  <c r="HU857" i="97"/>
  <c r="GZ857" i="97"/>
  <c r="GD857" i="97"/>
  <c r="FI857" i="97"/>
  <c r="AK857" i="97"/>
  <c r="BF857" i="97"/>
  <c r="CB857" i="97"/>
  <c r="CW857" i="97"/>
  <c r="DR857" i="97"/>
  <c r="EN857" i="97"/>
  <c r="FR857" i="97"/>
  <c r="GO857" i="97"/>
  <c r="HT857" i="97"/>
  <c r="KS857" i="97"/>
  <c r="MO857" i="97"/>
  <c r="HN858" i="97"/>
  <c r="MC859" i="97"/>
  <c r="LU860" i="97"/>
  <c r="MG861" i="97"/>
  <c r="Z861" i="97"/>
  <c r="AO861" i="97"/>
  <c r="BA861" i="97"/>
  <c r="BU861" i="97"/>
  <c r="CL861" i="97"/>
  <c r="DI861" i="97"/>
  <c r="ES861" i="97"/>
  <c r="FF861" i="97"/>
  <c r="FV861" i="97"/>
  <c r="IW861" i="97"/>
  <c r="LM861" i="97"/>
  <c r="MD862" i="97"/>
  <c r="GL863" i="97"/>
  <c r="HB863" i="97"/>
  <c r="HN863" i="97"/>
  <c r="MM864" i="97"/>
  <c r="Z864" i="97"/>
  <c r="AI864" i="97"/>
  <c r="AT864" i="97"/>
  <c r="BE864" i="97"/>
  <c r="CK864" i="97"/>
  <c r="ES864" i="97"/>
  <c r="FC864" i="97"/>
  <c r="FM864" i="97"/>
  <c r="LG864" i="97"/>
  <c r="LH865" i="97"/>
  <c r="LG865" i="97"/>
  <c r="DW865" i="97"/>
  <c r="FC865" i="97"/>
  <c r="BI866" i="97"/>
  <c r="EP866" i="97"/>
  <c r="HW866" i="97"/>
  <c r="LE866" i="97"/>
  <c r="LW867" i="97"/>
  <c r="AD867" i="97"/>
  <c r="AY867" i="97"/>
  <c r="BU867" i="97"/>
  <c r="CP867" i="97"/>
  <c r="DK867" i="97"/>
  <c r="FB867" i="97"/>
  <c r="FW867" i="97"/>
  <c r="IM867" i="97"/>
  <c r="LK867" i="97"/>
  <c r="ME869" i="97"/>
  <c r="LG869" i="97"/>
  <c r="AY869" i="97"/>
  <c r="CA869" i="97"/>
  <c r="FN869" i="97"/>
  <c r="GX869" i="97"/>
  <c r="LC870" i="97"/>
  <c r="KP870" i="97"/>
  <c r="JZ870" i="97"/>
  <c r="JL870" i="97"/>
  <c r="IY870" i="97"/>
  <c r="II870" i="97"/>
  <c r="HZ870" i="97"/>
  <c r="IT870" i="97"/>
  <c r="JW870" i="97"/>
  <c r="KZ870" i="97"/>
  <c r="LX871" i="97"/>
  <c r="KV871" i="97"/>
  <c r="KH871" i="97"/>
  <c r="JT871" i="97"/>
  <c r="JF871" i="97"/>
  <c r="IT871" i="97"/>
  <c r="II871" i="97"/>
  <c r="IA871" i="97"/>
  <c r="GJ871" i="97"/>
  <c r="EF871" i="97"/>
  <c r="BZ871" i="97"/>
  <c r="MT871" i="97"/>
  <c r="LC871" i="97"/>
  <c r="KL871" i="97"/>
  <c r="JP871" i="97"/>
  <c r="IY871" i="97"/>
  <c r="IL871" i="97"/>
  <c r="HZ871" i="97"/>
  <c r="FG871" i="97"/>
  <c r="CP871" i="97"/>
  <c r="MQ871" i="97"/>
  <c r="KZ871" i="97"/>
  <c r="KE871" i="97"/>
  <c r="JL871" i="97"/>
  <c r="IV871" i="97"/>
  <c r="IF871" i="97"/>
  <c r="HN871" i="97"/>
  <c r="ET871" i="97"/>
  <c r="BL871" i="97"/>
  <c r="AI871" i="97"/>
  <c r="FW871" i="97"/>
  <c r="IN871" i="97"/>
  <c r="JW871" i="97"/>
  <c r="LG871" i="97"/>
  <c r="BO872" i="97"/>
  <c r="FS872" i="97"/>
  <c r="IM872" i="97"/>
  <c r="JP872" i="97"/>
  <c r="KQ872" i="97"/>
  <c r="MJ875" i="97"/>
  <c r="KN876" i="97"/>
  <c r="JH876" i="97"/>
  <c r="II876" i="97"/>
  <c r="JC876" i="97"/>
  <c r="MJ876" i="97"/>
  <c r="KZ877" i="97"/>
  <c r="GJ883" i="97"/>
  <c r="BC886" i="97"/>
  <c r="GW886" i="97"/>
  <c r="P163" i="72"/>
  <c r="C34" i="84"/>
  <c r="J22" i="93"/>
  <c r="L63" i="97"/>
  <c r="L429" i="97"/>
  <c r="A520" i="97"/>
  <c r="J544" i="97"/>
  <c r="U574" i="97"/>
  <c r="S606" i="97"/>
  <c r="G623" i="97"/>
  <c r="P662" i="97"/>
  <c r="P666" i="97" s="1"/>
  <c r="J691" i="97"/>
  <c r="K813" i="97"/>
  <c r="L830" i="97"/>
  <c r="K830" i="97"/>
  <c r="L851" i="97"/>
  <c r="LX851" i="97"/>
  <c r="IF851" i="97"/>
  <c r="JL851" i="97"/>
  <c r="KR851" i="97"/>
  <c r="ML853" i="97"/>
  <c r="L855" i="97"/>
  <c r="M855" i="97" s="1"/>
  <c r="IB855" i="97"/>
  <c r="IL855" i="97"/>
  <c r="IW855" i="97"/>
  <c r="JH855" i="97"/>
  <c r="JR855" i="97"/>
  <c r="KC855" i="97"/>
  <c r="KN855" i="97"/>
  <c r="KX855" i="97"/>
  <c r="MF855" i="97"/>
  <c r="L856" i="97"/>
  <c r="MB856" i="97"/>
  <c r="IC856" i="97"/>
  <c r="JT856" i="97"/>
  <c r="L857" i="97"/>
  <c r="Y857" i="97"/>
  <c r="AT857" i="97"/>
  <c r="BP857" i="97"/>
  <c r="CK857" i="97"/>
  <c r="DF857" i="97"/>
  <c r="EB857" i="97"/>
  <c r="EW857" i="97"/>
  <c r="FT857" i="97"/>
  <c r="GX857" i="97"/>
  <c r="IG857" i="97"/>
  <c r="BJ858" i="97"/>
  <c r="LH859" i="97"/>
  <c r="FY859" i="97"/>
  <c r="LI859" i="97"/>
  <c r="MS861" i="97"/>
  <c r="AC861" i="97"/>
  <c r="AP861" i="97"/>
  <c r="BF861" i="97"/>
  <c r="BV861" i="97"/>
  <c r="CS861" i="97"/>
  <c r="DQ861" i="97"/>
  <c r="EW861" i="97"/>
  <c r="FM861" i="97"/>
  <c r="JE861" i="97"/>
  <c r="KS861" i="97"/>
  <c r="LK862" i="97"/>
  <c r="FZ862" i="97"/>
  <c r="LI862" i="97"/>
  <c r="MS863" i="97"/>
  <c r="MA863" i="97"/>
  <c r="LQ863" i="97"/>
  <c r="LF863" i="97"/>
  <c r="JO863" i="97"/>
  <c r="ID863" i="97"/>
  <c r="HS863" i="97"/>
  <c r="HI863" i="97"/>
  <c r="GX863" i="97"/>
  <c r="GM863" i="97"/>
  <c r="GC863" i="97"/>
  <c r="FR863" i="97"/>
  <c r="FG863" i="97"/>
  <c r="EW863" i="97"/>
  <c r="EK863" i="97"/>
  <c r="DZ863" i="97"/>
  <c r="DO863" i="97"/>
  <c r="DE863" i="97"/>
  <c r="CT863" i="97"/>
  <c r="CI863" i="97"/>
  <c r="BY863" i="97"/>
  <c r="BN863" i="97"/>
  <c r="BC863" i="97"/>
  <c r="AS863" i="97"/>
  <c r="AH863" i="97"/>
  <c r="Y863" i="97"/>
  <c r="AM863" i="97"/>
  <c r="AY863" i="97"/>
  <c r="BO863" i="97"/>
  <c r="CD863" i="97"/>
  <c r="CP863" i="97"/>
  <c r="DF863" i="97"/>
  <c r="DU863" i="97"/>
  <c r="EG863" i="97"/>
  <c r="FA863" i="97"/>
  <c r="FM863" i="97"/>
  <c r="GA863" i="97"/>
  <c r="GQ863" i="97"/>
  <c r="HC863" i="97"/>
  <c r="HR863" i="97"/>
  <c r="II863" i="97"/>
  <c r="KK863" i="97"/>
  <c r="LO863" i="97"/>
  <c r="ME863" i="97"/>
  <c r="KW864" i="97"/>
  <c r="KA864" i="97"/>
  <c r="JF864" i="97"/>
  <c r="IK864" i="97"/>
  <c r="AC864" i="97"/>
  <c r="AK864" i="97"/>
  <c r="AX864" i="97"/>
  <c r="BF864" i="97"/>
  <c r="CU864" i="97"/>
  <c r="EL864" i="97"/>
  <c r="EU864" i="97"/>
  <c r="FF864" i="97"/>
  <c r="FQ864" i="97"/>
  <c r="ID864" i="97"/>
  <c r="JU864" i="97"/>
  <c r="LJ864" i="97"/>
  <c r="JQ865" i="97"/>
  <c r="HZ865" i="97"/>
  <c r="ES865" i="97"/>
  <c r="BA865" i="97"/>
  <c r="KW865" i="97"/>
  <c r="JF865" i="97"/>
  <c r="FY865" i="97"/>
  <c r="EH865" i="97"/>
  <c r="AP865" i="97"/>
  <c r="AE865" i="97"/>
  <c r="FN865" i="97"/>
  <c r="KL865" i="97"/>
  <c r="BS866" i="97"/>
  <c r="FA866" i="97"/>
  <c r="IH866" i="97"/>
  <c r="LO866" i="97"/>
  <c r="AH867" i="97"/>
  <c r="BC867" i="97"/>
  <c r="BY867" i="97"/>
  <c r="CT867" i="97"/>
  <c r="DO867" i="97"/>
  <c r="EK867" i="97"/>
  <c r="FF867" i="97"/>
  <c r="LP867" i="97"/>
  <c r="MB868" i="97"/>
  <c r="MS869" i="97"/>
  <c r="MB869" i="97"/>
  <c r="LO869" i="97"/>
  <c r="KY869" i="97"/>
  <c r="JV869" i="97"/>
  <c r="IT869" i="97"/>
  <c r="IB869" i="97"/>
  <c r="HS869" i="97"/>
  <c r="HD869" i="97"/>
  <c r="GQ869" i="97"/>
  <c r="GB869" i="97"/>
  <c r="FP869" i="97"/>
  <c r="FB869" i="97"/>
  <c r="MH869" i="97"/>
  <c r="LL869" i="97"/>
  <c r="KJ869" i="97"/>
  <c r="IZ869" i="97"/>
  <c r="IA869" i="97"/>
  <c r="HL869" i="97"/>
  <c r="GR869" i="97"/>
  <c r="GA869" i="97"/>
  <c r="FH869" i="97"/>
  <c r="ER869" i="97"/>
  <c r="EE869" i="97"/>
  <c r="DP869" i="97"/>
  <c r="DB869" i="97"/>
  <c r="CN869" i="97"/>
  <c r="BZ869" i="97"/>
  <c r="BK869" i="97"/>
  <c r="AX869" i="97"/>
  <c r="AI869" i="97"/>
  <c r="MA869" i="97"/>
  <c r="KD869" i="97"/>
  <c r="IM869" i="97"/>
  <c r="HZ869" i="97"/>
  <c r="HG869" i="97"/>
  <c r="GL869" i="97"/>
  <c r="FW869" i="97"/>
  <c r="FG869" i="97"/>
  <c r="EM869" i="97"/>
  <c r="DZ869" i="97"/>
  <c r="DK869" i="97"/>
  <c r="CV869" i="97"/>
  <c r="CI869" i="97"/>
  <c r="BT869" i="97"/>
  <c r="BF869" i="97"/>
  <c r="AR869" i="97"/>
  <c r="AD869" i="97"/>
  <c r="AB869" i="97"/>
  <c r="BD869" i="97"/>
  <c r="CF869" i="97"/>
  <c r="DJ869" i="97"/>
  <c r="EL869" i="97"/>
  <c r="FV869" i="97"/>
  <c r="GY869" i="97"/>
  <c r="IE869" i="97"/>
  <c r="LF869" i="97"/>
  <c r="MP869" i="97"/>
  <c r="MT870" i="97"/>
  <c r="ID870" i="97"/>
  <c r="JD870" i="97"/>
  <c r="KH870" i="97"/>
  <c r="AY871" i="97"/>
  <c r="GX871" i="97"/>
  <c r="IQ871" i="97"/>
  <c r="KA871" i="97"/>
  <c r="MF871" i="97"/>
  <c r="BV872" i="97"/>
  <c r="GR872" i="97"/>
  <c r="IQ872" i="97"/>
  <c r="JS872" i="97"/>
  <c r="KV872" i="97"/>
  <c r="MS873" i="97"/>
  <c r="MB873" i="97"/>
  <c r="IZ873" i="97"/>
  <c r="HZ873" i="97"/>
  <c r="HG873" i="97"/>
  <c r="GJ873" i="97"/>
  <c r="FP873" i="97"/>
  <c r="EU873" i="97"/>
  <c r="DX873" i="97"/>
  <c r="DD873" i="97"/>
  <c r="CI873" i="97"/>
  <c r="BL873" i="97"/>
  <c r="AR873" i="97"/>
  <c r="MN873" i="97"/>
  <c r="KV873" i="97"/>
  <c r="IB873" i="97"/>
  <c r="HL873" i="97"/>
  <c r="GF873" i="97"/>
  <c r="FD873" i="97"/>
  <c r="EE873" i="97"/>
  <c r="CY873" i="97"/>
  <c r="BX873" i="97"/>
  <c r="AV873" i="97"/>
  <c r="LX873" i="97"/>
  <c r="KR873" i="97"/>
  <c r="IA873" i="97"/>
  <c r="GZ873" i="97"/>
  <c r="GA873" i="97"/>
  <c r="EZ873" i="97"/>
  <c r="DT873" i="97"/>
  <c r="CR873" i="97"/>
  <c r="BS873" i="97"/>
  <c r="AM873" i="97"/>
  <c r="LT873" i="97"/>
  <c r="AB873" i="97"/>
  <c r="CB873" i="97"/>
  <c r="EJ873" i="97"/>
  <c r="GQ873" i="97"/>
  <c r="ID873" i="97"/>
  <c r="LX874" i="97"/>
  <c r="LG874" i="97"/>
  <c r="LK874" i="97"/>
  <c r="IA876" i="97"/>
  <c r="JX876" i="97"/>
  <c r="MD879" i="97"/>
  <c r="LT879" i="97"/>
  <c r="GR879" i="97"/>
  <c r="HX879" i="97"/>
  <c r="MB880" i="97"/>
  <c r="IC880" i="97"/>
  <c r="GN880" i="97"/>
  <c r="ER880" i="97"/>
  <c r="CY880" i="97"/>
  <c r="BS880" i="97"/>
  <c r="AM880" i="97"/>
  <c r="LL880" i="97"/>
  <c r="HT880" i="97"/>
  <c r="FH880" i="97"/>
  <c r="CQ880" i="97"/>
  <c r="BC880" i="97"/>
  <c r="HD880" i="97"/>
  <c r="DO880" i="97"/>
  <c r="BK880" i="97"/>
  <c r="KV880" i="97"/>
  <c r="GF880" i="97"/>
  <c r="DG880" i="97"/>
  <c r="AU880" i="97"/>
  <c r="AE880" i="97"/>
  <c r="FX880" i="97"/>
  <c r="HQ881" i="97"/>
  <c r="GZ881" i="97"/>
  <c r="GC881" i="97"/>
  <c r="FE881" i="97"/>
  <c r="EN881" i="97"/>
  <c r="DQ881" i="97"/>
  <c r="CS881" i="97"/>
  <c r="CB881" i="97"/>
  <c r="BE881" i="97"/>
  <c r="AG881" i="97"/>
  <c r="LY881" i="97"/>
  <c r="KK881" i="97"/>
  <c r="HA881" i="97"/>
  <c r="FU881" i="97"/>
  <c r="EW881" i="97"/>
  <c r="DX881" i="97"/>
  <c r="CR881" i="97"/>
  <c r="BM881" i="97"/>
  <c r="AO881" i="97"/>
  <c r="LX881" i="97"/>
  <c r="HY881" i="97"/>
  <c r="GS881" i="97"/>
  <c r="FT881" i="97"/>
  <c r="EO881" i="97"/>
  <c r="DI881" i="97"/>
  <c r="CK881" i="97"/>
  <c r="BL881" i="97"/>
  <c r="AF881" i="97"/>
  <c r="GJ881" i="97"/>
  <c r="DY881" i="97"/>
  <c r="BU881" i="97"/>
  <c r="HP881" i="97"/>
  <c r="FM881" i="97"/>
  <c r="DH881" i="97"/>
  <c r="AW881" i="97"/>
  <c r="LP881" i="97"/>
  <c r="Y881" i="97"/>
  <c r="EG881" i="97"/>
  <c r="LQ881" i="97"/>
  <c r="MK884" i="97"/>
  <c r="JP884" i="97"/>
  <c r="IS884" i="97"/>
  <c r="IR884" i="97"/>
  <c r="Y867" i="97"/>
  <c r="AI867" i="97"/>
  <c r="AT867" i="97"/>
  <c r="BE867" i="97"/>
  <c r="BO867" i="97"/>
  <c r="BZ867" i="97"/>
  <c r="CK867" i="97"/>
  <c r="CU867" i="97"/>
  <c r="DF867" i="97"/>
  <c r="DQ867" i="97"/>
  <c r="EA867" i="97"/>
  <c r="EL867" i="97"/>
  <c r="EW867" i="97"/>
  <c r="FG867" i="97"/>
  <c r="FR867" i="97"/>
  <c r="GC867" i="97"/>
  <c r="GM867" i="97"/>
  <c r="GX867" i="97"/>
  <c r="HI867" i="97"/>
  <c r="HS867" i="97"/>
  <c r="ID867" i="97"/>
  <c r="JI867" i="97"/>
  <c r="LB867" i="97"/>
  <c r="LR867" i="97"/>
  <c r="AY868" i="97"/>
  <c r="CA868" i="97"/>
  <c r="MI871" i="97"/>
  <c r="IF875" i="97"/>
  <c r="IU875" i="97"/>
  <c r="JH875" i="97"/>
  <c r="JX875" i="97"/>
  <c r="KJ875" i="97"/>
  <c r="HL877" i="97"/>
  <c r="HG878" i="97"/>
  <c r="KM878" i="97"/>
  <c r="BL879" i="97"/>
  <c r="DX879" i="97"/>
  <c r="IU879" i="97"/>
  <c r="JK879" i="97"/>
  <c r="KF879" i="97"/>
  <c r="KY879" i="97"/>
  <c r="LM882" i="97"/>
  <c r="HE882" i="97"/>
  <c r="MC882" i="97"/>
  <c r="GO882" i="97"/>
  <c r="JQ882" i="97"/>
  <c r="ES882" i="97"/>
  <c r="BA882" i="97"/>
  <c r="MR883" i="97"/>
  <c r="LX883" i="97"/>
  <c r="KR883" i="97"/>
  <c r="JT883" i="97"/>
  <c r="IW883" i="97"/>
  <c r="MO883" i="97"/>
  <c r="KJ883" i="97"/>
  <c r="JM883" i="97"/>
  <c r="IV883" i="97"/>
  <c r="HP883" i="97"/>
  <c r="MN883" i="97"/>
  <c r="KC883" i="97"/>
  <c r="IN883" i="97"/>
  <c r="GK883" i="97"/>
  <c r="FE883" i="97"/>
  <c r="DY883" i="97"/>
  <c r="CS883" i="97"/>
  <c r="BM883" i="97"/>
  <c r="AG883" i="97"/>
  <c r="KS883" i="97"/>
  <c r="IG883" i="97"/>
  <c r="FU883" i="97"/>
  <c r="EN883" i="97"/>
  <c r="CR883" i="97"/>
  <c r="AW883" i="97"/>
  <c r="KB883" i="97"/>
  <c r="IF883" i="97"/>
  <c r="FT883" i="97"/>
  <c r="DX883" i="97"/>
  <c r="CC883" i="97"/>
  <c r="AV883" i="97"/>
  <c r="LQ883" i="97"/>
  <c r="AF883" i="97"/>
  <c r="DI883" i="97"/>
  <c r="GZ883" i="97"/>
  <c r="MF883" i="97"/>
  <c r="LZ886" i="97"/>
  <c r="KU886" i="97"/>
  <c r="JQ886" i="97"/>
  <c r="IO886" i="97"/>
  <c r="HS886" i="97"/>
  <c r="HE886" i="97"/>
  <c r="GQ886" i="97"/>
  <c r="GC886" i="97"/>
  <c r="FN886" i="97"/>
  <c r="FA886" i="97"/>
  <c r="EL886" i="97"/>
  <c r="DW886" i="97"/>
  <c r="DJ886" i="97"/>
  <c r="CU886" i="97"/>
  <c r="CG886" i="97"/>
  <c r="BU886" i="97"/>
  <c r="BJ886" i="97"/>
  <c r="AY886" i="97"/>
  <c r="AO886" i="97"/>
  <c r="AD886" i="97"/>
  <c r="LQ886" i="97"/>
  <c r="KK886" i="97"/>
  <c r="JI886" i="97"/>
  <c r="IE886" i="97"/>
  <c r="HR886" i="97"/>
  <c r="HC886" i="97"/>
  <c r="GO886" i="97"/>
  <c r="GA886" i="97"/>
  <c r="FM886" i="97"/>
  <c r="EX886" i="97"/>
  <c r="EK886" i="97"/>
  <c r="DV886" i="97"/>
  <c r="DG886" i="97"/>
  <c r="CT886" i="97"/>
  <c r="CE886" i="97"/>
  <c r="BS886" i="97"/>
  <c r="BI886" i="97"/>
  <c r="AX886" i="97"/>
  <c r="AM886" i="97"/>
  <c r="AC886" i="97"/>
  <c r="LO886" i="97"/>
  <c r="JC886" i="97"/>
  <c r="HM886" i="97"/>
  <c r="GI886" i="97"/>
  <c r="FG886" i="97"/>
  <c r="EE886" i="97"/>
  <c r="DB886" i="97"/>
  <c r="BZ886" i="97"/>
  <c r="BE886" i="97"/>
  <c r="AI886" i="97"/>
  <c r="JV886" i="97"/>
  <c r="HJ886" i="97"/>
  <c r="FV886" i="97"/>
  <c r="EQ886" i="97"/>
  <c r="DA886" i="97"/>
  <c r="BO886" i="97"/>
  <c r="AS886" i="97"/>
  <c r="MA886" i="97"/>
  <c r="IT886" i="97"/>
  <c r="GX886" i="97"/>
  <c r="FS886" i="97"/>
  <c r="EC886" i="97"/>
  <c r="CO886" i="97"/>
  <c r="BN886" i="97"/>
  <c r="AH886" i="97"/>
  <c r="Y886" i="97"/>
  <c r="CL886" i="97"/>
  <c r="FF886" i="97"/>
  <c r="HZ886" i="97"/>
  <c r="MS858" i="97"/>
  <c r="AC858" i="97"/>
  <c r="BI858" i="97"/>
  <c r="CO858" i="97"/>
  <c r="DU858" i="97"/>
  <c r="FA858" i="97"/>
  <c r="GG858" i="97"/>
  <c r="HM858" i="97"/>
  <c r="IS858" i="97"/>
  <c r="JY858" i="97"/>
  <c r="LE858" i="97"/>
  <c r="MK858" i="97"/>
  <c r="LH860" i="97"/>
  <c r="DE860" i="97"/>
  <c r="Y861" i="97"/>
  <c r="AH861" i="97"/>
  <c r="AS861" i="97"/>
  <c r="BE861" i="97"/>
  <c r="BN861" i="97"/>
  <c r="CD861" i="97"/>
  <c r="CT861" i="97"/>
  <c r="DJ861" i="97"/>
  <c r="DZ861" i="97"/>
  <c r="EO861" i="97"/>
  <c r="EX861" i="97"/>
  <c r="FI861" i="97"/>
  <c r="FU861" i="97"/>
  <c r="GK861" i="97"/>
  <c r="HA861" i="97"/>
  <c r="HQ861" i="97"/>
  <c r="IO861" i="97"/>
  <c r="JU861" i="97"/>
  <c r="LA861" i="97"/>
  <c r="LQ861" i="97"/>
  <c r="LE863" i="97"/>
  <c r="Y864" i="97"/>
  <c r="AE864" i="97"/>
  <c r="AM864" i="97"/>
  <c r="AU864" i="97"/>
  <c r="BC864" i="97"/>
  <c r="BJ864" i="97"/>
  <c r="EA864" i="97"/>
  <c r="EK864" i="97"/>
  <c r="EQ864" i="97"/>
  <c r="EX864" i="97"/>
  <c r="FG864" i="97"/>
  <c r="FN864" i="97"/>
  <c r="FV864" i="97"/>
  <c r="GH864" i="97"/>
  <c r="GO864" i="97"/>
  <c r="GW864" i="97"/>
  <c r="HC864" i="97"/>
  <c r="HJ864" i="97"/>
  <c r="HR864" i="97"/>
  <c r="HY864" i="97"/>
  <c r="IO864" i="97"/>
  <c r="JJ864" i="97"/>
  <c r="KE864" i="97"/>
  <c r="LA864" i="97"/>
  <c r="LM864" i="97"/>
  <c r="LU864" i="97"/>
  <c r="MA864" i="97"/>
  <c r="MC865" i="97"/>
  <c r="AC867" i="97"/>
  <c r="AM867" i="97"/>
  <c r="AX867" i="97"/>
  <c r="BI867" i="97"/>
  <c r="BS867" i="97"/>
  <c r="CD867" i="97"/>
  <c r="CO867" i="97"/>
  <c r="CY867" i="97"/>
  <c r="DJ867" i="97"/>
  <c r="DU867" i="97"/>
  <c r="EE867" i="97"/>
  <c r="EP867" i="97"/>
  <c r="FA867" i="97"/>
  <c r="FK867" i="97"/>
  <c r="FV867" i="97"/>
  <c r="GG867" i="97"/>
  <c r="GQ867" i="97"/>
  <c r="HB867" i="97"/>
  <c r="HM867" i="97"/>
  <c r="HW867" i="97"/>
  <c r="IH867" i="97"/>
  <c r="JY867" i="97"/>
  <c r="AD868" i="97"/>
  <c r="BF868" i="97"/>
  <c r="CI868" i="97"/>
  <c r="DK868" i="97"/>
  <c r="EM868" i="97"/>
  <c r="FP868" i="97"/>
  <c r="GR868" i="97"/>
  <c r="HT868" i="97"/>
  <c r="ID868" i="97"/>
  <c r="MD869" i="97"/>
  <c r="KX870" i="97"/>
  <c r="KM870" i="97"/>
  <c r="KB870" i="97"/>
  <c r="JR870" i="97"/>
  <c r="JG870" i="97"/>
  <c r="IV870" i="97"/>
  <c r="IL870" i="97"/>
  <c r="IB870" i="97"/>
  <c r="GE870" i="97"/>
  <c r="FJ870" i="97"/>
  <c r="EF870" i="97"/>
  <c r="DC870" i="97"/>
  <c r="CB870" i="97"/>
  <c r="AY870" i="97"/>
  <c r="AF870" i="97"/>
  <c r="BL870" i="97"/>
  <c r="CZ870" i="97"/>
  <c r="EQ870" i="97"/>
  <c r="FW870" i="97"/>
  <c r="IA870" i="97"/>
  <c r="IN870" i="97"/>
  <c r="JB870" i="97"/>
  <c r="JO870" i="97"/>
  <c r="KE870" i="97"/>
  <c r="KR870" i="97"/>
  <c r="LF870" i="97"/>
  <c r="LH873" i="97"/>
  <c r="MD874" i="97"/>
  <c r="KZ875" i="97"/>
  <c r="KQ875" i="97"/>
  <c r="KF875" i="97"/>
  <c r="JT875" i="97"/>
  <c r="JK875" i="97"/>
  <c r="IZ875" i="97"/>
  <c r="IN875" i="97"/>
  <c r="IE875" i="97"/>
  <c r="HZ875" i="97"/>
  <c r="BX875" i="97"/>
  <c r="LX875" i="97"/>
  <c r="AI875" i="97"/>
  <c r="IA875" i="97"/>
  <c r="IJ875" i="97"/>
  <c r="IV875" i="97"/>
  <c r="JL875" i="97"/>
  <c r="KA875" i="97"/>
  <c r="KN875" i="97"/>
  <c r="LD875" i="97"/>
  <c r="LD876" i="97"/>
  <c r="KI876" i="97"/>
  <c r="JO876" i="97"/>
  <c r="IR876" i="97"/>
  <c r="IB876" i="97"/>
  <c r="FG876" i="97"/>
  <c r="LO876" i="97"/>
  <c r="AI876" i="97"/>
  <c r="HZ876" i="97"/>
  <c r="IM876" i="97"/>
  <c r="JS876" i="97"/>
  <c r="KU876" i="97"/>
  <c r="LD877" i="97"/>
  <c r="BC877" i="97"/>
  <c r="CB877" i="97"/>
  <c r="EJ877" i="97"/>
  <c r="FK877" i="97"/>
  <c r="MM878" i="97"/>
  <c r="JW878" i="97"/>
  <c r="IB878" i="97"/>
  <c r="GE878" i="97"/>
  <c r="EE878" i="97"/>
  <c r="MN878" i="97"/>
  <c r="JG878" i="97"/>
  <c r="HZ878" i="97"/>
  <c r="FW878" i="97"/>
  <c r="CA878" i="97"/>
  <c r="IA878" i="97"/>
  <c r="LC878" i="97"/>
  <c r="LD879" i="97"/>
  <c r="AV879" i="97"/>
  <c r="IE879" i="97"/>
  <c r="IV879" i="97"/>
  <c r="JS879" i="97"/>
  <c r="KJ879" i="97"/>
  <c r="LI881" i="97"/>
  <c r="LH881" i="97"/>
  <c r="IK882" i="97"/>
  <c r="BL883" i="97"/>
  <c r="EO883" i="97"/>
  <c r="JD883" i="97"/>
  <c r="AT886" i="97"/>
  <c r="DO886" i="97"/>
  <c r="GH886" i="97"/>
  <c r="KE886" i="97"/>
  <c r="LA881" i="97"/>
  <c r="LB887" i="97"/>
  <c r="KK887" i="97"/>
  <c r="IT887" i="97"/>
  <c r="HZ887" i="97"/>
  <c r="KL887" i="97"/>
  <c r="O1026" i="97"/>
  <c r="K2180" i="97"/>
  <c r="J2146" i="97"/>
  <c r="J2147" i="97" s="1"/>
  <c r="FL870" i="97"/>
  <c r="LB870" i="97"/>
  <c r="LK870" i="97"/>
  <c r="KV876" i="97"/>
  <c r="LP877" i="97"/>
  <c r="JT877" i="97"/>
  <c r="IB877" i="97"/>
  <c r="HP877" i="97"/>
  <c r="GV877" i="97"/>
  <c r="LT877" i="97"/>
  <c r="AB877" i="97"/>
  <c r="AV877" i="97"/>
  <c r="BS877" i="97"/>
  <c r="CN877" i="97"/>
  <c r="DH877" i="97"/>
  <c r="EE877" i="97"/>
  <c r="EZ877" i="97"/>
  <c r="FT877" i="97"/>
  <c r="GQ877" i="97"/>
  <c r="HW877" i="97"/>
  <c r="IN877" i="97"/>
  <c r="IB879" i="97"/>
  <c r="IM879" i="97"/>
  <c r="IZ879" i="97"/>
  <c r="JP879" i="97"/>
  <c r="KB879" i="97"/>
  <c r="MJ884" i="97"/>
  <c r="KV884" i="97"/>
  <c r="JY884" i="97"/>
  <c r="JH884" i="97"/>
  <c r="IJ884" i="97"/>
  <c r="GV884" i="97"/>
  <c r="EZ884" i="97"/>
  <c r="DE884" i="97"/>
  <c r="BY884" i="97"/>
  <c r="AS884" i="97"/>
  <c r="LT884" i="97"/>
  <c r="KO884" i="97"/>
  <c r="JX884" i="97"/>
  <c r="IZ884" i="97"/>
  <c r="IC884" i="97"/>
  <c r="GF884" i="97"/>
  <c r="EJ884" i="97"/>
  <c r="DD884" i="97"/>
  <c r="BX884" i="97"/>
  <c r="AR884" i="97"/>
  <c r="LD884" i="97"/>
  <c r="JI884" i="97"/>
  <c r="HL884" i="97"/>
  <c r="DT884" i="97"/>
  <c r="BH884" i="97"/>
  <c r="AB884" i="97"/>
  <c r="CO884" i="97"/>
  <c r="IB884" i="97"/>
  <c r="KF884" i="97"/>
  <c r="MR884" i="97"/>
  <c r="JD885" i="97"/>
  <c r="LQ887" i="97"/>
  <c r="HN887" i="97"/>
  <c r="GS887" i="97"/>
  <c r="GH887" i="97"/>
  <c r="HE887" i="97"/>
  <c r="IU887" i="97"/>
  <c r="LF887" i="97"/>
  <c r="MC887" i="97"/>
  <c r="L1060" i="97"/>
  <c r="L1808" i="97"/>
  <c r="Q1808" i="97"/>
  <c r="MB879" i="97"/>
  <c r="AF879" i="97"/>
  <c r="CR879" i="97"/>
  <c r="FL879" i="97"/>
  <c r="IA879" i="97"/>
  <c r="IF879" i="97"/>
  <c r="IR879" i="97"/>
  <c r="JC879" i="97"/>
  <c r="JL879" i="97"/>
  <c r="JX879" i="97"/>
  <c r="KI879" i="97"/>
  <c r="KR879" i="97"/>
  <c r="CG882" i="97"/>
  <c r="MG883" i="97"/>
  <c r="LW887" i="97"/>
  <c r="K1031" i="97"/>
  <c r="J1040" i="97"/>
  <c r="N1040" i="97"/>
  <c r="L1897" i="97"/>
  <c r="Q1897" i="97"/>
  <c r="Q2020" i="97"/>
  <c r="L2020" i="97"/>
  <c r="Q2053" i="97"/>
  <c r="R2049" i="97"/>
  <c r="CC885" i="97"/>
  <c r="EO885" i="97"/>
  <c r="HP885" i="97"/>
  <c r="A886" i="97"/>
  <c r="AE887" i="97"/>
  <c r="AP887" i="97"/>
  <c r="BA887" i="97"/>
  <c r="BK887" i="97"/>
  <c r="CP887" i="97"/>
  <c r="DM887" i="97"/>
  <c r="EL887" i="97"/>
  <c r="EW887" i="97"/>
  <c r="FG887" i="97"/>
  <c r="FR887" i="97"/>
  <c r="GC887" i="97"/>
  <c r="GM887" i="97"/>
  <c r="GX887" i="97"/>
  <c r="HI887" i="97"/>
  <c r="HS887" i="97"/>
  <c r="II887" i="97"/>
  <c r="JE887" i="97"/>
  <c r="JZ887" i="97"/>
  <c r="KU887" i="97"/>
  <c r="LK887" i="97"/>
  <c r="LV887" i="97"/>
  <c r="P963" i="97"/>
  <c r="H1022" i="97"/>
  <c r="L1022" i="97"/>
  <c r="P1022" i="97"/>
  <c r="H1026" i="97"/>
  <c r="L1026" i="97"/>
  <c r="P1026" i="97"/>
  <c r="H1031" i="97"/>
  <c r="L1031" i="97"/>
  <c r="Q1031" i="97"/>
  <c r="LU884" i="97"/>
  <c r="MO885" i="97"/>
  <c r="AG885" i="97"/>
  <c r="CS885" i="97"/>
  <c r="FE885" i="97"/>
  <c r="IV885" i="97"/>
  <c r="LN885" i="97"/>
  <c r="MK886" i="97"/>
  <c r="Y887" i="97"/>
  <c r="AI887" i="97"/>
  <c r="AT887" i="97"/>
  <c r="BE887" i="97"/>
  <c r="BU887" i="97"/>
  <c r="CQ887" i="97"/>
  <c r="DV887" i="97"/>
  <c r="EM887" i="97"/>
  <c r="EX887" i="97"/>
  <c r="FI887" i="97"/>
  <c r="FS887" i="97"/>
  <c r="GD887" i="97"/>
  <c r="GO887" i="97"/>
  <c r="GY887" i="97"/>
  <c r="HJ887" i="97"/>
  <c r="HU887" i="97"/>
  <c r="IK887" i="97"/>
  <c r="JF887" i="97"/>
  <c r="KA887" i="97"/>
  <c r="KW887" i="97"/>
  <c r="LM887" i="97"/>
  <c r="I1040" i="97"/>
  <c r="Q1040" i="97"/>
  <c r="H1049" i="97"/>
  <c r="L1049" i="97"/>
  <c r="J1049" i="97"/>
  <c r="K1053" i="97"/>
  <c r="I1053" i="97"/>
  <c r="F1084" i="97"/>
  <c r="L1084" i="97"/>
  <c r="J680" i="97"/>
  <c r="F26" i="95"/>
  <c r="H28" i="95"/>
  <c r="B317" i="91"/>
  <c r="B29" i="91"/>
  <c r="E31" i="95"/>
  <c r="P62" i="75"/>
  <c r="F49" i="73"/>
  <c r="N151" i="75"/>
  <c r="I1157" i="97"/>
  <c r="K27" i="87"/>
  <c r="I69" i="74"/>
  <c r="I1165" i="97" s="1"/>
  <c r="E3" i="86"/>
  <c r="J863" i="97"/>
  <c r="L23" i="75"/>
  <c r="M23" i="75" s="1"/>
  <c r="B555" i="91"/>
  <c r="H25" i="95"/>
  <c r="F27" i="95"/>
  <c r="E28" i="95"/>
  <c r="B266" i="91"/>
  <c r="P59" i="75"/>
  <c r="I28" i="95"/>
  <c r="B334" i="91"/>
  <c r="B142" i="91"/>
  <c r="B46" i="91"/>
  <c r="F31" i="95"/>
  <c r="P106" i="75"/>
  <c r="P157" i="75"/>
  <c r="P140" i="75"/>
  <c r="F50" i="73"/>
  <c r="K151" i="75"/>
  <c r="H18" i="84"/>
  <c r="B58" i="78"/>
  <c r="F55" i="78"/>
  <c r="G25" i="95"/>
  <c r="B538" i="91"/>
  <c r="M63" i="75"/>
  <c r="B414" i="91"/>
  <c r="I27" i="95"/>
  <c r="B125" i="91"/>
  <c r="N147" i="75"/>
  <c r="K1292" i="97"/>
  <c r="K52" i="73"/>
  <c r="L152" i="75"/>
  <c r="L125" i="75"/>
  <c r="G1186" i="97"/>
  <c r="B35" i="87"/>
  <c r="F1128" i="97"/>
  <c r="G14" i="86"/>
  <c r="J864" i="97"/>
  <c r="L24" i="75"/>
  <c r="M24" i="75" s="1"/>
  <c r="E25" i="95"/>
  <c r="B504" i="91"/>
  <c r="P56" i="75"/>
  <c r="K63" i="75"/>
  <c r="I25" i="95"/>
  <c r="B572" i="91"/>
  <c r="H26" i="95"/>
  <c r="B476" i="91"/>
  <c r="G27" i="95"/>
  <c r="B380" i="91"/>
  <c r="B283" i="91"/>
  <c r="F28" i="95"/>
  <c r="E29" i="95"/>
  <c r="B187" i="91"/>
  <c r="P60" i="75"/>
  <c r="B255" i="91"/>
  <c r="I29" i="95"/>
  <c r="H30" i="95"/>
  <c r="B159" i="91"/>
  <c r="G31" i="95"/>
  <c r="B63" i="91"/>
  <c r="P95" i="75"/>
  <c r="P109" i="75"/>
  <c r="N111" i="75"/>
  <c r="L164" i="75"/>
  <c r="P162" i="75"/>
  <c r="P167" i="75"/>
  <c r="P65" i="66" s="1"/>
  <c r="P89" i="97" s="1"/>
  <c r="P120" i="75"/>
  <c r="P137" i="75"/>
  <c r="O148" i="75"/>
  <c r="F1291" i="97"/>
  <c r="F51" i="73"/>
  <c r="K1290" i="97"/>
  <c r="K50" i="73"/>
  <c r="L151" i="75"/>
  <c r="K153" i="75"/>
  <c r="F1306" i="97"/>
  <c r="F66" i="73"/>
  <c r="N152" i="75"/>
  <c r="K1304" i="97"/>
  <c r="K64" i="73"/>
  <c r="B346" i="91"/>
  <c r="E27" i="95"/>
  <c r="B97" i="91"/>
  <c r="I31" i="95"/>
  <c r="K150" i="75"/>
  <c r="B1187" i="97"/>
  <c r="E30" i="87"/>
  <c r="B98" i="74"/>
  <c r="B1194" i="97" s="1"/>
  <c r="F25" i="95"/>
  <c r="B521" i="91"/>
  <c r="E26" i="95"/>
  <c r="B397" i="91"/>
  <c r="H27" i="95"/>
  <c r="B300" i="91"/>
  <c r="G28" i="95"/>
  <c r="B108" i="91"/>
  <c r="I30" i="95"/>
  <c r="B176" i="91"/>
  <c r="H31" i="95"/>
  <c r="B80" i="91"/>
  <c r="P98" i="75"/>
  <c r="P104" i="75"/>
  <c r="P159" i="75"/>
  <c r="P117" i="75"/>
  <c r="K121" i="75"/>
  <c r="F52" i="73"/>
  <c r="K1291" i="97"/>
  <c r="K51" i="73"/>
  <c r="K152" i="75"/>
  <c r="O152" i="75"/>
  <c r="O125" i="75"/>
  <c r="P133" i="75"/>
  <c r="A2" i="66"/>
  <c r="P476" i="97"/>
  <c r="F122" i="74"/>
  <c r="B122" i="74"/>
  <c r="J92" i="74"/>
  <c r="F92" i="74"/>
  <c r="B92" i="74"/>
  <c r="K60" i="74"/>
  <c r="G60" i="74"/>
  <c r="C60" i="74"/>
  <c r="D122" i="74"/>
  <c r="K92" i="74"/>
  <c r="E92" i="74"/>
  <c r="H60" i="74"/>
  <c r="B60" i="74"/>
  <c r="I28" i="74"/>
  <c r="E28" i="74"/>
  <c r="C122" i="74"/>
  <c r="I92" i="74"/>
  <c r="D92" i="74"/>
  <c r="F60" i="74"/>
  <c r="H28" i="74"/>
  <c r="D28" i="74"/>
  <c r="H92" i="74"/>
  <c r="C92" i="74"/>
  <c r="I3" i="76"/>
  <c r="G59" i="84"/>
  <c r="E59" i="84"/>
  <c r="K59" i="84"/>
  <c r="I59" i="84"/>
  <c r="E24" i="74"/>
  <c r="E1120" i="97" s="1"/>
  <c r="B1118" i="97"/>
  <c r="G26" i="74"/>
  <c r="C27" i="74"/>
  <c r="K27" i="74"/>
  <c r="G28" i="74"/>
  <c r="C29" i="74"/>
  <c r="K29" i="74"/>
  <c r="J32" i="74"/>
  <c r="D58" i="74"/>
  <c r="K59" i="74"/>
  <c r="I60" i="74"/>
  <c r="E61" i="74"/>
  <c r="F64" i="74"/>
  <c r="E1169" i="97"/>
  <c r="C51" i="86"/>
  <c r="I1169" i="97"/>
  <c r="G51" i="86"/>
  <c r="C1170" i="97"/>
  <c r="H32" i="86"/>
  <c r="G1170" i="97"/>
  <c r="E52" i="86"/>
  <c r="B90" i="74"/>
  <c r="N88" i="66"/>
  <c r="N112" i="97" s="1"/>
  <c r="L485" i="97"/>
  <c r="N485" i="97" s="1"/>
  <c r="H192" i="66"/>
  <c r="H216" i="97" s="1"/>
  <c r="A2" i="68"/>
  <c r="S2" i="68" s="1"/>
  <c r="N51" i="68"/>
  <c r="F38" i="78"/>
  <c r="L18" i="75"/>
  <c r="M18" i="75" s="1"/>
  <c r="J21" i="75"/>
  <c r="L22" i="75"/>
  <c r="M22" i="75" s="1"/>
  <c r="J25" i="75"/>
  <c r="L30" i="75"/>
  <c r="M30" i="75" s="1"/>
  <c r="L34" i="75"/>
  <c r="M34" i="75" s="1"/>
  <c r="L38" i="75"/>
  <c r="M38" i="75" s="1"/>
  <c r="L42" i="75"/>
  <c r="M42" i="75" s="1"/>
  <c r="L46" i="75"/>
  <c r="M46" i="75" s="1"/>
  <c r="B1114" i="97"/>
  <c r="C55" i="84"/>
  <c r="B26" i="74"/>
  <c r="J26" i="74"/>
  <c r="F27" i="74"/>
  <c r="B28" i="74"/>
  <c r="J28" i="74"/>
  <c r="F29" i="74"/>
  <c r="K32" i="74"/>
  <c r="F58" i="74"/>
  <c r="D59" i="74"/>
  <c r="J60" i="74"/>
  <c r="B1169" i="97"/>
  <c r="G31" i="86"/>
  <c r="F1169" i="97"/>
  <c r="D51" i="86"/>
  <c r="J1169" i="97"/>
  <c r="H51" i="86"/>
  <c r="D1170" i="97"/>
  <c r="I32" i="86"/>
  <c r="H1170" i="97"/>
  <c r="F52" i="86"/>
  <c r="G92" i="74"/>
  <c r="F121" i="74"/>
  <c r="P1282" i="97"/>
  <c r="D4" i="96"/>
  <c r="C44" i="90"/>
  <c r="A1" i="72"/>
  <c r="J64" i="97"/>
  <c r="A3" i="97"/>
  <c r="I794" i="97"/>
  <c r="A708" i="97"/>
  <c r="A436" i="97"/>
  <c r="D4" i="93"/>
  <c r="P42" i="73"/>
  <c r="A1" i="73"/>
  <c r="A2" i="74"/>
  <c r="N2" i="74" s="1"/>
  <c r="H8" i="84"/>
  <c r="F14" i="85" s="1"/>
  <c r="A3" i="83" s="1"/>
  <c r="J26" i="75"/>
  <c r="H1335" i="97"/>
  <c r="H15" i="84"/>
  <c r="F18" i="85" s="1"/>
  <c r="K65" i="97"/>
  <c r="H95" i="73"/>
  <c r="P477" i="97"/>
  <c r="D123" i="74"/>
  <c r="K93" i="74"/>
  <c r="G93" i="74"/>
  <c r="C93" i="74"/>
  <c r="H61" i="74"/>
  <c r="D61" i="74"/>
  <c r="C123" i="74"/>
  <c r="J93" i="74"/>
  <c r="E93" i="74"/>
  <c r="G61" i="74"/>
  <c r="B61" i="74"/>
  <c r="I29" i="74"/>
  <c r="E29" i="74"/>
  <c r="B123" i="74"/>
  <c r="I93" i="74"/>
  <c r="D93" i="74"/>
  <c r="K61" i="74"/>
  <c r="F61" i="74"/>
  <c r="H29" i="74"/>
  <c r="D29" i="74"/>
  <c r="F123" i="74"/>
  <c r="H93" i="74"/>
  <c r="B93" i="74"/>
  <c r="L468" i="97"/>
  <c r="N41" i="66"/>
  <c r="A2" i="67"/>
  <c r="F120" i="74"/>
  <c r="B120" i="74"/>
  <c r="H90" i="74"/>
  <c r="D90" i="74"/>
  <c r="I58" i="74"/>
  <c r="E58" i="74"/>
  <c r="P474" i="97"/>
  <c r="E120" i="74"/>
  <c r="K90" i="74"/>
  <c r="F90" i="74"/>
  <c r="H58" i="74"/>
  <c r="C58" i="74"/>
  <c r="I26" i="74"/>
  <c r="E26" i="74"/>
  <c r="D120" i="74"/>
  <c r="J90" i="74"/>
  <c r="E90" i="74"/>
  <c r="G58" i="74"/>
  <c r="B58" i="74"/>
  <c r="H26" i="74"/>
  <c r="D26" i="74"/>
  <c r="C120" i="74"/>
  <c r="I90" i="74"/>
  <c r="C90" i="74"/>
  <c r="D45" i="68"/>
  <c r="D479" i="97" s="1"/>
  <c r="G146" i="78"/>
  <c r="J177" i="78"/>
  <c r="A1" i="77"/>
  <c r="A1" i="76"/>
  <c r="L29" i="75"/>
  <c r="M29" i="75" s="1"/>
  <c r="L33" i="75"/>
  <c r="M33" i="75" s="1"/>
  <c r="L37" i="75"/>
  <c r="M37" i="75" s="1"/>
  <c r="L41" i="75"/>
  <c r="M41" i="75" s="1"/>
  <c r="L45" i="75"/>
  <c r="M45" i="75" s="1"/>
  <c r="C58" i="84"/>
  <c r="C26" i="74"/>
  <c r="K26" i="74"/>
  <c r="G27" i="74"/>
  <c r="C28" i="74"/>
  <c r="K28" i="74"/>
  <c r="G29" i="74"/>
  <c r="C1137" i="97"/>
  <c r="E11" i="86"/>
  <c r="G1137" i="97"/>
  <c r="I11" i="86"/>
  <c r="K1137" i="97"/>
  <c r="F31" i="86"/>
  <c r="E1138" i="97"/>
  <c r="G12" i="86"/>
  <c r="I1138" i="97"/>
  <c r="D32" i="86"/>
  <c r="J58" i="74"/>
  <c r="E59" i="74"/>
  <c r="D60" i="74"/>
  <c r="J61" i="74"/>
  <c r="E122" i="74"/>
  <c r="I34" i="97"/>
  <c r="C21" i="86"/>
  <c r="M67" i="85"/>
  <c r="A3" i="79"/>
  <c r="O41" i="66"/>
  <c r="D121" i="74"/>
  <c r="I91" i="74"/>
  <c r="E91" i="74"/>
  <c r="J59" i="74"/>
  <c r="F59" i="74"/>
  <c r="B59" i="74"/>
  <c r="E121" i="74"/>
  <c r="K91" i="74"/>
  <c r="F91" i="74"/>
  <c r="H59" i="74"/>
  <c r="C59" i="74"/>
  <c r="I27" i="74"/>
  <c r="E27" i="74"/>
  <c r="C121" i="74"/>
  <c r="J91" i="74"/>
  <c r="D91" i="74"/>
  <c r="G59" i="74"/>
  <c r="H27" i="74"/>
  <c r="D27" i="74"/>
  <c r="B121" i="74"/>
  <c r="H91" i="74"/>
  <c r="C91" i="74"/>
  <c r="P475" i="97"/>
  <c r="D64" i="74"/>
  <c r="P479" i="97"/>
  <c r="C64" i="74"/>
  <c r="I32" i="74"/>
  <c r="E32" i="74"/>
  <c r="B64" i="74"/>
  <c r="H32" i="74"/>
  <c r="D32" i="74"/>
  <c r="L52" i="68"/>
  <c r="F122" i="78"/>
  <c r="F124" i="78"/>
  <c r="A2" i="75"/>
  <c r="T2" i="75" s="1"/>
  <c r="Q217" i="75"/>
  <c r="E60" i="84"/>
  <c r="K60" i="84"/>
  <c r="I60" i="84"/>
  <c r="G60" i="84"/>
  <c r="D24" i="74"/>
  <c r="D1120" i="97" s="1"/>
  <c r="F26" i="74"/>
  <c r="B27" i="74"/>
  <c r="J27" i="74"/>
  <c r="F28" i="74"/>
  <c r="B29" i="74"/>
  <c r="J29" i="74"/>
  <c r="G32" i="74"/>
  <c r="D1137" i="97"/>
  <c r="F11" i="86"/>
  <c r="H1137" i="97"/>
  <c r="C31" i="86"/>
  <c r="B1138" i="97"/>
  <c r="D12" i="86"/>
  <c r="C12" i="86"/>
  <c r="F1138" i="97"/>
  <c r="H12" i="86"/>
  <c r="J1138" i="97"/>
  <c r="E32" i="86"/>
  <c r="B1140" i="97"/>
  <c r="C44" i="74"/>
  <c r="C1140" i="97" s="1"/>
  <c r="K58" i="74"/>
  <c r="I59" i="74"/>
  <c r="E60" i="74"/>
  <c r="C61" i="74"/>
  <c r="E64" i="74"/>
  <c r="G91" i="74"/>
  <c r="F93" i="74"/>
  <c r="E123" i="74"/>
  <c r="P131" i="72"/>
  <c r="P1850" i="97" s="1"/>
  <c r="O124" i="72"/>
  <c r="O131" i="72"/>
  <c r="O1850" i="97" s="1"/>
  <c r="P124" i="72"/>
  <c r="O2049" i="97"/>
  <c r="A963" i="97"/>
  <c r="E28" i="72"/>
  <c r="E1747" i="97" s="1"/>
  <c r="L350" i="72"/>
  <c r="H2" i="91"/>
  <c r="H2" i="95"/>
  <c r="A2" i="90"/>
  <c r="A1" i="89"/>
  <c r="F13" i="85"/>
  <c r="G11" i="86"/>
  <c r="C32" i="86"/>
  <c r="F36" i="86"/>
  <c r="D56" i="92"/>
  <c r="F84" i="92"/>
  <c r="G33" i="93"/>
  <c r="H33" i="93" s="1"/>
  <c r="H52" i="93" s="1"/>
  <c r="F54" i="89" s="1"/>
  <c r="D33" i="90" s="1"/>
  <c r="G37" i="93"/>
  <c r="H37" i="93" s="1"/>
  <c r="G41" i="93"/>
  <c r="H41" i="93" s="1"/>
  <c r="G45" i="93"/>
  <c r="H45" i="93" s="1"/>
  <c r="A588" i="97"/>
  <c r="U588" i="97"/>
  <c r="AG628" i="97"/>
  <c r="AD628" i="97"/>
  <c r="A637" i="97"/>
  <c r="U637" i="97"/>
  <c r="AN851" i="97"/>
  <c r="BT851" i="97"/>
  <c r="CZ851" i="97"/>
  <c r="EF851" i="97"/>
  <c r="FL851" i="97"/>
  <c r="GR851" i="97"/>
  <c r="HX851" i="97"/>
  <c r="LP851" i="97"/>
  <c r="LK852" i="97"/>
  <c r="LG852" i="97"/>
  <c r="LI852" i="97"/>
  <c r="A852" i="97"/>
  <c r="LH852" i="97"/>
  <c r="LJ852" i="97"/>
  <c r="LZ852" i="97"/>
  <c r="LP852" i="97"/>
  <c r="HX852" i="97"/>
  <c r="HM852" i="97"/>
  <c r="HB852" i="97"/>
  <c r="GR852" i="97"/>
  <c r="GG852" i="97"/>
  <c r="FV852" i="97"/>
  <c r="FL852" i="97"/>
  <c r="FA852" i="97"/>
  <c r="AR852" i="97"/>
  <c r="BX852" i="97"/>
  <c r="DJ852" i="97"/>
  <c r="O1884" i="97"/>
  <c r="O163" i="72"/>
  <c r="O1976" i="97"/>
  <c r="O263" i="72"/>
  <c r="O256" i="72" s="1"/>
  <c r="O336" i="72"/>
  <c r="H11" i="86"/>
  <c r="E16" i="86"/>
  <c r="F32" i="86"/>
  <c r="I36" i="86"/>
  <c r="J34" i="96"/>
  <c r="J38" i="96"/>
  <c r="I494" i="97"/>
  <c r="AV851" i="97"/>
  <c r="CB851" i="97"/>
  <c r="DH851" i="97"/>
  <c r="EN851" i="97"/>
  <c r="FT851" i="97"/>
  <c r="GZ851" i="97"/>
  <c r="AZ852" i="97"/>
  <c r="CF852" i="97"/>
  <c r="DU852" i="97"/>
  <c r="I1137" i="97"/>
  <c r="D31" i="86"/>
  <c r="C1138" i="97"/>
  <c r="E12" i="86"/>
  <c r="G1138" i="97"/>
  <c r="I12" i="86"/>
  <c r="O1918" i="97"/>
  <c r="L185" i="72"/>
  <c r="E22" i="72"/>
  <c r="E1741" i="97" s="1"/>
  <c r="A2" i="84"/>
  <c r="K33" i="84"/>
  <c r="K29" i="84"/>
  <c r="C11" i="86"/>
  <c r="O12" i="86"/>
  <c r="G32" i="86"/>
  <c r="LY851" i="97"/>
  <c r="LQ851" i="97"/>
  <c r="LI851" i="97"/>
  <c r="HY851" i="97"/>
  <c r="HQ851" i="97"/>
  <c r="HI851" i="97"/>
  <c r="HA851" i="97"/>
  <c r="GS851" i="97"/>
  <c r="GK851" i="97"/>
  <c r="GC851" i="97"/>
  <c r="FU851" i="97"/>
  <c r="FM851" i="97"/>
  <c r="FE851" i="97"/>
  <c r="EW851" i="97"/>
  <c r="EO851" i="97"/>
  <c r="EG851" i="97"/>
  <c r="DY851" i="97"/>
  <c r="DQ851" i="97"/>
  <c r="DI851" i="97"/>
  <c r="DA851" i="97"/>
  <c r="CS851" i="97"/>
  <c r="CK851" i="97"/>
  <c r="CC851" i="97"/>
  <c r="BU851" i="97"/>
  <c r="BM851" i="97"/>
  <c r="BE851" i="97"/>
  <c r="AW851" i="97"/>
  <c r="AO851" i="97"/>
  <c r="AG851" i="97"/>
  <c r="Y851" i="97"/>
  <c r="X851" i="97"/>
  <c r="BD851" i="97"/>
  <c r="CJ851" i="97"/>
  <c r="DP851" i="97"/>
  <c r="EV851" i="97"/>
  <c r="GB851" i="97"/>
  <c r="HH851" i="97"/>
  <c r="AB852" i="97"/>
  <c r="BH852" i="97"/>
  <c r="CO852" i="97"/>
  <c r="K61" i="84"/>
  <c r="I61" i="84"/>
  <c r="C31" i="74"/>
  <c r="J1137" i="97"/>
  <c r="E31" i="86"/>
  <c r="D1138" i="97"/>
  <c r="F12" i="86"/>
  <c r="D1169" i="97"/>
  <c r="I31" i="86"/>
  <c r="H1169" i="97"/>
  <c r="F51" i="86"/>
  <c r="F1170" i="97"/>
  <c r="D52" i="86"/>
  <c r="J1170" i="97"/>
  <c r="H52" i="86"/>
  <c r="O88" i="72"/>
  <c r="Q165" i="72"/>
  <c r="O1980" i="97"/>
  <c r="L261" i="72"/>
  <c r="Q261" i="72"/>
  <c r="C36" i="84"/>
  <c r="G61" i="84"/>
  <c r="B53" i="82"/>
  <c r="D11" i="86"/>
  <c r="I16" i="86"/>
  <c r="E36" i="86"/>
  <c r="C52" i="86"/>
  <c r="C141" i="90"/>
  <c r="J51" i="96"/>
  <c r="J45" i="96"/>
  <c r="J43" i="96"/>
  <c r="J37" i="96"/>
  <c r="J35" i="96"/>
  <c r="J40" i="96"/>
  <c r="J44" i="96"/>
  <c r="G50" i="93"/>
  <c r="H50" i="93" s="1"/>
  <c r="G48" i="93"/>
  <c r="H48" i="93" s="1"/>
  <c r="G46" i="93"/>
  <c r="H46" i="93" s="1"/>
  <c r="G44" i="93"/>
  <c r="H44" i="93" s="1"/>
  <c r="G42" i="93"/>
  <c r="H42" i="93" s="1"/>
  <c r="G40" i="93"/>
  <c r="H40" i="93" s="1"/>
  <c r="G38" i="93"/>
  <c r="H38" i="93" s="1"/>
  <c r="G36" i="93"/>
  <c r="H36" i="93" s="1"/>
  <c r="G34" i="93"/>
  <c r="H34" i="93" s="1"/>
  <c r="U605" i="97"/>
  <c r="A605" i="97"/>
  <c r="AF851" i="97"/>
  <c r="BL851" i="97"/>
  <c r="CR851" i="97"/>
  <c r="DX851" i="97"/>
  <c r="FD851" i="97"/>
  <c r="GJ851" i="97"/>
  <c r="HP851" i="97"/>
  <c r="LH851" i="97"/>
  <c r="AJ852" i="97"/>
  <c r="BP852" i="97"/>
  <c r="CZ852" i="97"/>
  <c r="EP852" i="97"/>
  <c r="LK853" i="97"/>
  <c r="LG853" i="97"/>
  <c r="A853" i="97"/>
  <c r="LJ853" i="97"/>
  <c r="LI853" i="97"/>
  <c r="AD853" i="97"/>
  <c r="AO853" i="97"/>
  <c r="AZ853" i="97"/>
  <c r="BJ853" i="97"/>
  <c r="BU853" i="97"/>
  <c r="CF853" i="97"/>
  <c r="CP853" i="97"/>
  <c r="DA853" i="97"/>
  <c r="DL853" i="97"/>
  <c r="DV853" i="97"/>
  <c r="ER853" i="97"/>
  <c r="FB853" i="97"/>
  <c r="FM853" i="97"/>
  <c r="GH853" i="97"/>
  <c r="GS853" i="97"/>
  <c r="HD853" i="97"/>
  <c r="HN853" i="97"/>
  <c r="HY853" i="97"/>
  <c r="LQ853" i="97"/>
  <c r="MB853" i="97"/>
  <c r="GC855" i="97"/>
  <c r="FX855" i="97"/>
  <c r="EG855" i="97"/>
  <c r="X855" i="97"/>
  <c r="AH855" i="97"/>
  <c r="AS855" i="97"/>
  <c r="BD855" i="97"/>
  <c r="BN855" i="97"/>
  <c r="BY855" i="97"/>
  <c r="CJ855" i="97"/>
  <c r="CT855" i="97"/>
  <c r="DE855" i="97"/>
  <c r="DP855" i="97"/>
  <c r="DZ855" i="97"/>
  <c r="EK855" i="97"/>
  <c r="EV855" i="97"/>
  <c r="FF855" i="97"/>
  <c r="FQ855" i="97"/>
  <c r="GB855" i="97"/>
  <c r="GL855" i="97"/>
  <c r="GW855" i="97"/>
  <c r="HH855" i="97"/>
  <c r="HR855" i="97"/>
  <c r="LJ855" i="97"/>
  <c r="LU855" i="97"/>
  <c r="X856" i="97"/>
  <c r="AH856" i="97"/>
  <c r="AS856" i="97"/>
  <c r="BD856" i="97"/>
  <c r="BN856" i="97"/>
  <c r="BY856" i="97"/>
  <c r="CJ856" i="97"/>
  <c r="CT856" i="97"/>
  <c r="DE856" i="97"/>
  <c r="DP856" i="97"/>
  <c r="DZ856" i="97"/>
  <c r="EK856" i="97"/>
  <c r="EV856" i="97"/>
  <c r="FF856" i="97"/>
  <c r="FQ856" i="97"/>
  <c r="GB856" i="97"/>
  <c r="GL856" i="97"/>
  <c r="GW856" i="97"/>
  <c r="HH856" i="97"/>
  <c r="HR856" i="97"/>
  <c r="LJ856" i="97"/>
  <c r="LU856" i="97"/>
  <c r="BY860" i="97"/>
  <c r="GW860" i="97"/>
  <c r="HO865" i="97"/>
  <c r="MM865" i="97"/>
  <c r="LC868" i="97"/>
  <c r="KX868" i="97"/>
  <c r="KR868" i="97"/>
  <c r="KM868" i="97"/>
  <c r="KH868" i="97"/>
  <c r="KB868" i="97"/>
  <c r="JW868" i="97"/>
  <c r="JR868" i="97"/>
  <c r="JL868" i="97"/>
  <c r="JG868" i="97"/>
  <c r="JB868" i="97"/>
  <c r="IV868" i="97"/>
  <c r="IQ868" i="97"/>
  <c r="IL868" i="97"/>
  <c r="IF868" i="97"/>
  <c r="LF868" i="97"/>
  <c r="KY868" i="97"/>
  <c r="KQ868" i="97"/>
  <c r="KJ868" i="97"/>
  <c r="KD868" i="97"/>
  <c r="JV868" i="97"/>
  <c r="JO868" i="97"/>
  <c r="JH868" i="97"/>
  <c r="IZ868" i="97"/>
  <c r="IT868" i="97"/>
  <c r="IM868" i="97"/>
  <c r="IE868" i="97"/>
  <c r="LD868" i="97"/>
  <c r="KV868" i="97"/>
  <c r="KP868" i="97"/>
  <c r="KI868" i="97"/>
  <c r="KA868" i="97"/>
  <c r="JT868" i="97"/>
  <c r="JN868" i="97"/>
  <c r="JF868" i="97"/>
  <c r="IY868" i="97"/>
  <c r="IR868" i="97"/>
  <c r="IJ868" i="97"/>
  <c r="LB868" i="97"/>
  <c r="KU868" i="97"/>
  <c r="KN868" i="97"/>
  <c r="KF868" i="97"/>
  <c r="JZ868" i="97"/>
  <c r="JS868" i="97"/>
  <c r="JK868" i="97"/>
  <c r="JD868" i="97"/>
  <c r="IX868" i="97"/>
  <c r="IP868" i="97"/>
  <c r="II868" i="97"/>
  <c r="A868" i="97"/>
  <c r="KT868" i="97"/>
  <c r="JP868" i="97"/>
  <c r="IN868" i="97"/>
  <c r="MQ868" i="97"/>
  <c r="KL868" i="97"/>
  <c r="JJ868" i="97"/>
  <c r="IH868" i="97"/>
  <c r="MJ868" i="97"/>
  <c r="KE868" i="97"/>
  <c r="JC868" i="97"/>
  <c r="KZ868" i="97"/>
  <c r="D64" i="96"/>
  <c r="B64" i="96"/>
  <c r="B64" i="93"/>
  <c r="D58" i="93"/>
  <c r="J521" i="97"/>
  <c r="V649" i="97"/>
  <c r="M576" i="97"/>
  <c r="G589" i="97"/>
  <c r="S589" i="97"/>
  <c r="G638" i="97"/>
  <c r="S638" i="97"/>
  <c r="I830" i="97"/>
  <c r="M830" i="97"/>
  <c r="IG851" i="97"/>
  <c r="IO851" i="97"/>
  <c r="IW851" i="97"/>
  <c r="JE851" i="97"/>
  <c r="JM851" i="97"/>
  <c r="JU851" i="97"/>
  <c r="KC851" i="97"/>
  <c r="KK851" i="97"/>
  <c r="KS851" i="97"/>
  <c r="LA851" i="97"/>
  <c r="MG851" i="97"/>
  <c r="MQ852" i="97"/>
  <c r="MM852" i="97"/>
  <c r="MI852" i="97"/>
  <c r="ME852" i="97"/>
  <c r="MA852" i="97"/>
  <c r="LW852" i="97"/>
  <c r="LS852" i="97"/>
  <c r="LO852" i="97"/>
  <c r="LC852" i="97"/>
  <c r="KY852" i="97"/>
  <c r="KU852" i="97"/>
  <c r="KQ852" i="97"/>
  <c r="KM852" i="97"/>
  <c r="KI852" i="97"/>
  <c r="KE852" i="97"/>
  <c r="KA852" i="97"/>
  <c r="JW852" i="97"/>
  <c r="JS852" i="97"/>
  <c r="JO852" i="97"/>
  <c r="JK852" i="97"/>
  <c r="JG852" i="97"/>
  <c r="JC852" i="97"/>
  <c r="IY852" i="97"/>
  <c r="IU852" i="97"/>
  <c r="IQ852" i="97"/>
  <c r="IM852" i="97"/>
  <c r="II852" i="97"/>
  <c r="IE852" i="97"/>
  <c r="IA852" i="97"/>
  <c r="HW852" i="97"/>
  <c r="HS852" i="97"/>
  <c r="HO852" i="97"/>
  <c r="HK852" i="97"/>
  <c r="HG852" i="97"/>
  <c r="HC852" i="97"/>
  <c r="GY852" i="97"/>
  <c r="GU852" i="97"/>
  <c r="GQ852" i="97"/>
  <c r="GM852" i="97"/>
  <c r="GI852" i="97"/>
  <c r="GE852" i="97"/>
  <c r="GA852" i="97"/>
  <c r="FW852" i="97"/>
  <c r="FS852" i="97"/>
  <c r="FO852" i="97"/>
  <c r="FK852" i="97"/>
  <c r="FG852" i="97"/>
  <c r="FC852" i="97"/>
  <c r="EY852" i="97"/>
  <c r="EU852" i="97"/>
  <c r="EQ852" i="97"/>
  <c r="EM852" i="97"/>
  <c r="EI852" i="97"/>
  <c r="EE852" i="97"/>
  <c r="EA852" i="97"/>
  <c r="DW852" i="97"/>
  <c r="DS852" i="97"/>
  <c r="DO852" i="97"/>
  <c r="DK852" i="97"/>
  <c r="DG852" i="97"/>
  <c r="DC852" i="97"/>
  <c r="CY852" i="97"/>
  <c r="CU852" i="97"/>
  <c r="CQ852" i="97"/>
  <c r="CM852" i="97"/>
  <c r="MT852" i="97"/>
  <c r="MO852" i="97"/>
  <c r="MJ852" i="97"/>
  <c r="MD852" i="97"/>
  <c r="LY852" i="97"/>
  <c r="LT852" i="97"/>
  <c r="LN852" i="97"/>
  <c r="LD852" i="97"/>
  <c r="KX852" i="97"/>
  <c r="KS852" i="97"/>
  <c r="KN852" i="97"/>
  <c r="KH852" i="97"/>
  <c r="KC852" i="97"/>
  <c r="JX852" i="97"/>
  <c r="JR852" i="97"/>
  <c r="JM852" i="97"/>
  <c r="JH852" i="97"/>
  <c r="JB852" i="97"/>
  <c r="IW852" i="97"/>
  <c r="IR852" i="97"/>
  <c r="IL852" i="97"/>
  <c r="IG852" i="97"/>
  <c r="IB852" i="97"/>
  <c r="HV852" i="97"/>
  <c r="HQ852" i="97"/>
  <c r="HL852" i="97"/>
  <c r="HF852" i="97"/>
  <c r="HA852" i="97"/>
  <c r="GV852" i="97"/>
  <c r="GP852" i="97"/>
  <c r="GK852" i="97"/>
  <c r="GF852" i="97"/>
  <c r="FZ852" i="97"/>
  <c r="FU852" i="97"/>
  <c r="FP852" i="97"/>
  <c r="FJ852" i="97"/>
  <c r="FE852" i="97"/>
  <c r="EZ852" i="97"/>
  <c r="ET852" i="97"/>
  <c r="EO852" i="97"/>
  <c r="EJ852" i="97"/>
  <c r="ED852" i="97"/>
  <c r="DY852" i="97"/>
  <c r="DT852" i="97"/>
  <c r="DN852" i="97"/>
  <c r="DI852" i="97"/>
  <c r="DD852" i="97"/>
  <c r="CX852" i="97"/>
  <c r="CS852" i="97"/>
  <c r="CN852" i="97"/>
  <c r="CI852" i="97"/>
  <c r="CE852" i="97"/>
  <c r="CA852" i="97"/>
  <c r="BW852" i="97"/>
  <c r="BS852" i="97"/>
  <c r="BO852" i="97"/>
  <c r="BK852" i="97"/>
  <c r="BG852" i="97"/>
  <c r="BC852" i="97"/>
  <c r="AY852" i="97"/>
  <c r="AU852" i="97"/>
  <c r="AQ852" i="97"/>
  <c r="AM852" i="97"/>
  <c r="AI852" i="97"/>
  <c r="AE852" i="97"/>
  <c r="AA852" i="97"/>
  <c r="MS852" i="97"/>
  <c r="MN852" i="97"/>
  <c r="MH852" i="97"/>
  <c r="MC852" i="97"/>
  <c r="LX852" i="97"/>
  <c r="LR852" i="97"/>
  <c r="LM852" i="97"/>
  <c r="LB852" i="97"/>
  <c r="KW852" i="97"/>
  <c r="KR852" i="97"/>
  <c r="KL852" i="97"/>
  <c r="KG852" i="97"/>
  <c r="KB852" i="97"/>
  <c r="JV852" i="97"/>
  <c r="JQ852" i="97"/>
  <c r="JL852" i="97"/>
  <c r="JF852" i="97"/>
  <c r="JA852" i="97"/>
  <c r="IV852" i="97"/>
  <c r="IP852" i="97"/>
  <c r="IK852" i="97"/>
  <c r="IF852" i="97"/>
  <c r="HZ852" i="97"/>
  <c r="HU852" i="97"/>
  <c r="HP852" i="97"/>
  <c r="HJ852" i="97"/>
  <c r="HE852" i="97"/>
  <c r="GZ852" i="97"/>
  <c r="GT852" i="97"/>
  <c r="GO852" i="97"/>
  <c r="GJ852" i="97"/>
  <c r="GD852" i="97"/>
  <c r="FY852" i="97"/>
  <c r="FT852" i="97"/>
  <c r="FN852" i="97"/>
  <c r="FI852" i="97"/>
  <c r="FD852" i="97"/>
  <c r="EX852" i="97"/>
  <c r="ES852" i="97"/>
  <c r="EN852" i="97"/>
  <c r="EH852" i="97"/>
  <c r="EC852" i="97"/>
  <c r="DX852" i="97"/>
  <c r="DR852" i="97"/>
  <c r="DM852" i="97"/>
  <c r="DH852" i="97"/>
  <c r="DB852" i="97"/>
  <c r="CW852" i="97"/>
  <c r="CR852" i="97"/>
  <c r="CL852" i="97"/>
  <c r="CH852" i="97"/>
  <c r="CD852" i="97"/>
  <c r="BZ852" i="97"/>
  <c r="BV852" i="97"/>
  <c r="BR852" i="97"/>
  <c r="BN852" i="97"/>
  <c r="BJ852" i="97"/>
  <c r="BF852" i="97"/>
  <c r="BB852" i="97"/>
  <c r="AX852" i="97"/>
  <c r="AT852" i="97"/>
  <c r="AP852" i="97"/>
  <c r="AL852" i="97"/>
  <c r="AH852" i="97"/>
  <c r="AD852" i="97"/>
  <c r="Z852" i="97"/>
  <c r="AC852" i="97"/>
  <c r="AK852" i="97"/>
  <c r="AS852" i="97"/>
  <c r="BA852" i="97"/>
  <c r="BI852" i="97"/>
  <c r="BQ852" i="97"/>
  <c r="BY852" i="97"/>
  <c r="CG852" i="97"/>
  <c r="CP852" i="97"/>
  <c r="DA852" i="97"/>
  <c r="DL852" i="97"/>
  <c r="DV852" i="97"/>
  <c r="EG852" i="97"/>
  <c r="ER852" i="97"/>
  <c r="FB852" i="97"/>
  <c r="FM852" i="97"/>
  <c r="FX852" i="97"/>
  <c r="GH852" i="97"/>
  <c r="GS852" i="97"/>
  <c r="HD852" i="97"/>
  <c r="HN852" i="97"/>
  <c r="HY852" i="97"/>
  <c r="IJ852" i="97"/>
  <c r="IT852" i="97"/>
  <c r="JE852" i="97"/>
  <c r="JP852" i="97"/>
  <c r="JZ852" i="97"/>
  <c r="KK852" i="97"/>
  <c r="KV852" i="97"/>
  <c r="LF852" i="97"/>
  <c r="LQ852" i="97"/>
  <c r="MB852" i="97"/>
  <c r="ML852" i="97"/>
  <c r="MQ853" i="97"/>
  <c r="MM853" i="97"/>
  <c r="MI853" i="97"/>
  <c r="ME853" i="97"/>
  <c r="MA853" i="97"/>
  <c r="LW853" i="97"/>
  <c r="LS853" i="97"/>
  <c r="LO853" i="97"/>
  <c r="LC853" i="97"/>
  <c r="KY853" i="97"/>
  <c r="KU853" i="97"/>
  <c r="KQ853" i="97"/>
  <c r="KM853" i="97"/>
  <c r="KI853" i="97"/>
  <c r="KE853" i="97"/>
  <c r="KA853" i="97"/>
  <c r="JW853" i="97"/>
  <c r="JS853" i="97"/>
  <c r="JO853" i="97"/>
  <c r="JK853" i="97"/>
  <c r="JG853" i="97"/>
  <c r="JC853" i="97"/>
  <c r="IY853" i="97"/>
  <c r="IU853" i="97"/>
  <c r="IQ853" i="97"/>
  <c r="IM853" i="97"/>
  <c r="II853" i="97"/>
  <c r="IE853" i="97"/>
  <c r="IA853" i="97"/>
  <c r="HW853" i="97"/>
  <c r="HS853" i="97"/>
  <c r="HO853" i="97"/>
  <c r="HK853" i="97"/>
  <c r="HG853" i="97"/>
  <c r="HC853" i="97"/>
  <c r="GY853" i="97"/>
  <c r="GU853" i="97"/>
  <c r="GQ853" i="97"/>
  <c r="GM853" i="97"/>
  <c r="GI853" i="97"/>
  <c r="GE853" i="97"/>
  <c r="GA853" i="97"/>
  <c r="FW853" i="97"/>
  <c r="FS853" i="97"/>
  <c r="FO853" i="97"/>
  <c r="FK853" i="97"/>
  <c r="FG853" i="97"/>
  <c r="FC853" i="97"/>
  <c r="EY853" i="97"/>
  <c r="EU853" i="97"/>
  <c r="EQ853" i="97"/>
  <c r="EM853" i="97"/>
  <c r="EI853" i="97"/>
  <c r="EE853" i="97"/>
  <c r="EA853" i="97"/>
  <c r="DW853" i="97"/>
  <c r="DS853" i="97"/>
  <c r="DO853" i="97"/>
  <c r="DK853" i="97"/>
  <c r="DG853" i="97"/>
  <c r="DC853" i="97"/>
  <c r="CY853" i="97"/>
  <c r="CU853" i="97"/>
  <c r="CQ853" i="97"/>
  <c r="CM853" i="97"/>
  <c r="CI853" i="97"/>
  <c r="CE853" i="97"/>
  <c r="CA853" i="97"/>
  <c r="BW853" i="97"/>
  <c r="BS853" i="97"/>
  <c r="BO853" i="97"/>
  <c r="BK853" i="97"/>
  <c r="BG853" i="97"/>
  <c r="BC853" i="97"/>
  <c r="AY853" i="97"/>
  <c r="AU853" i="97"/>
  <c r="AQ853" i="97"/>
  <c r="AM853" i="97"/>
  <c r="AI853" i="97"/>
  <c r="AE853" i="97"/>
  <c r="AA853" i="97"/>
  <c r="MP853" i="97"/>
  <c r="MK853" i="97"/>
  <c r="MF853" i="97"/>
  <c r="LZ853" i="97"/>
  <c r="LU853" i="97"/>
  <c r="LP853" i="97"/>
  <c r="LE853" i="97"/>
  <c r="KZ853" i="97"/>
  <c r="KT853" i="97"/>
  <c r="KO853" i="97"/>
  <c r="KJ853" i="97"/>
  <c r="KD853" i="97"/>
  <c r="JY853" i="97"/>
  <c r="JT853" i="97"/>
  <c r="JN853" i="97"/>
  <c r="JI853" i="97"/>
  <c r="JD853" i="97"/>
  <c r="IX853" i="97"/>
  <c r="IS853" i="97"/>
  <c r="IN853" i="97"/>
  <c r="IH853" i="97"/>
  <c r="IC853" i="97"/>
  <c r="HX853" i="97"/>
  <c r="HR853" i="97"/>
  <c r="HM853" i="97"/>
  <c r="HH853" i="97"/>
  <c r="HB853" i="97"/>
  <c r="GW853" i="97"/>
  <c r="GR853" i="97"/>
  <c r="GL853" i="97"/>
  <c r="GG853" i="97"/>
  <c r="GB853" i="97"/>
  <c r="FV853" i="97"/>
  <c r="FQ853" i="97"/>
  <c r="FL853" i="97"/>
  <c r="FF853" i="97"/>
  <c r="FA853" i="97"/>
  <c r="EV853" i="97"/>
  <c r="EP853" i="97"/>
  <c r="EK853" i="97"/>
  <c r="EF853" i="97"/>
  <c r="DZ853" i="97"/>
  <c r="DU853" i="97"/>
  <c r="DP853" i="97"/>
  <c r="DJ853" i="97"/>
  <c r="DE853" i="97"/>
  <c r="CZ853" i="97"/>
  <c r="CT853" i="97"/>
  <c r="CO853" i="97"/>
  <c r="CJ853" i="97"/>
  <c r="CD853" i="97"/>
  <c r="BY853" i="97"/>
  <c r="BT853" i="97"/>
  <c r="BN853" i="97"/>
  <c r="BI853" i="97"/>
  <c r="BD853" i="97"/>
  <c r="AX853" i="97"/>
  <c r="AS853" i="97"/>
  <c r="AN853" i="97"/>
  <c r="AH853" i="97"/>
  <c r="AC853" i="97"/>
  <c r="X853" i="97"/>
  <c r="MT853" i="97"/>
  <c r="MO853" i="97"/>
  <c r="MJ853" i="97"/>
  <c r="MD853" i="97"/>
  <c r="LY853" i="97"/>
  <c r="LT853" i="97"/>
  <c r="LN853" i="97"/>
  <c r="LD853" i="97"/>
  <c r="KX853" i="97"/>
  <c r="KS853" i="97"/>
  <c r="KN853" i="97"/>
  <c r="KH853" i="97"/>
  <c r="KC853" i="97"/>
  <c r="JX853" i="97"/>
  <c r="JR853" i="97"/>
  <c r="JM853" i="97"/>
  <c r="JH853" i="97"/>
  <c r="JB853" i="97"/>
  <c r="IW853" i="97"/>
  <c r="IR853" i="97"/>
  <c r="IL853" i="97"/>
  <c r="IG853" i="97"/>
  <c r="IB853" i="97"/>
  <c r="HV853" i="97"/>
  <c r="HQ853" i="97"/>
  <c r="HL853" i="97"/>
  <c r="HF853" i="97"/>
  <c r="HA853" i="97"/>
  <c r="GV853" i="97"/>
  <c r="GP853" i="97"/>
  <c r="GK853" i="97"/>
  <c r="GF853" i="97"/>
  <c r="FZ853" i="97"/>
  <c r="FU853" i="97"/>
  <c r="FP853" i="97"/>
  <c r="FJ853" i="97"/>
  <c r="FE853" i="97"/>
  <c r="EZ853" i="97"/>
  <c r="ET853" i="97"/>
  <c r="EO853" i="97"/>
  <c r="EJ853" i="97"/>
  <c r="ED853" i="97"/>
  <c r="DY853" i="97"/>
  <c r="DT853" i="97"/>
  <c r="DN853" i="97"/>
  <c r="DI853" i="97"/>
  <c r="DD853" i="97"/>
  <c r="CX853" i="97"/>
  <c r="CS853" i="97"/>
  <c r="CN853" i="97"/>
  <c r="CH853" i="97"/>
  <c r="CC853" i="97"/>
  <c r="BX853" i="97"/>
  <c r="BR853" i="97"/>
  <c r="BM853" i="97"/>
  <c r="BH853" i="97"/>
  <c r="BB853" i="97"/>
  <c r="AW853" i="97"/>
  <c r="AR853" i="97"/>
  <c r="AL853" i="97"/>
  <c r="AG853" i="97"/>
  <c r="AB853" i="97"/>
  <c r="AF853" i="97"/>
  <c r="AP853" i="97"/>
  <c r="BA853" i="97"/>
  <c r="BL853" i="97"/>
  <c r="BV853" i="97"/>
  <c r="CG853" i="97"/>
  <c r="CR853" i="97"/>
  <c r="DB853" i="97"/>
  <c r="DM853" i="97"/>
  <c r="DX853" i="97"/>
  <c r="EH853" i="97"/>
  <c r="ES853" i="97"/>
  <c r="FD853" i="97"/>
  <c r="FN853" i="97"/>
  <c r="FY853" i="97"/>
  <c r="GJ853" i="97"/>
  <c r="GT853" i="97"/>
  <c r="HE853" i="97"/>
  <c r="HP853" i="97"/>
  <c r="HZ853" i="97"/>
  <c r="IK853" i="97"/>
  <c r="IV853" i="97"/>
  <c r="JF853" i="97"/>
  <c r="JQ853" i="97"/>
  <c r="KB853" i="97"/>
  <c r="KL853" i="97"/>
  <c r="KW853" i="97"/>
  <c r="LH853" i="97"/>
  <c r="LR853" i="97"/>
  <c r="MC853" i="97"/>
  <c r="MN853" i="97"/>
  <c r="MQ854" i="97"/>
  <c r="MM854" i="97"/>
  <c r="MI854" i="97"/>
  <c r="ME854" i="97"/>
  <c r="MA854" i="97"/>
  <c r="LW854" i="97"/>
  <c r="LS854" i="97"/>
  <c r="LO854" i="97"/>
  <c r="LC854" i="97"/>
  <c r="KY854" i="97"/>
  <c r="KU854" i="97"/>
  <c r="KQ854" i="97"/>
  <c r="KM854" i="97"/>
  <c r="KI854" i="97"/>
  <c r="KE854" i="97"/>
  <c r="KA854" i="97"/>
  <c r="JW854" i="97"/>
  <c r="JS854" i="97"/>
  <c r="JO854" i="97"/>
  <c r="JK854" i="97"/>
  <c r="JG854" i="97"/>
  <c r="JC854" i="97"/>
  <c r="IY854" i="97"/>
  <c r="IU854" i="97"/>
  <c r="IQ854" i="97"/>
  <c r="IM854" i="97"/>
  <c r="II854" i="97"/>
  <c r="IE854" i="97"/>
  <c r="IA854" i="97"/>
  <c r="HW854" i="97"/>
  <c r="HS854" i="97"/>
  <c r="HO854" i="97"/>
  <c r="HK854" i="97"/>
  <c r="HG854" i="97"/>
  <c r="HC854" i="97"/>
  <c r="GY854" i="97"/>
  <c r="GU854" i="97"/>
  <c r="GQ854" i="97"/>
  <c r="GM854" i="97"/>
  <c r="GI854" i="97"/>
  <c r="GE854" i="97"/>
  <c r="GA854" i="97"/>
  <c r="FW854" i="97"/>
  <c r="FS854" i="97"/>
  <c r="FO854" i="97"/>
  <c r="FK854" i="97"/>
  <c r="FG854" i="97"/>
  <c r="FC854" i="97"/>
  <c r="EY854" i="97"/>
  <c r="EU854" i="97"/>
  <c r="EQ854" i="97"/>
  <c r="EM854" i="97"/>
  <c r="EI854" i="97"/>
  <c r="EE854" i="97"/>
  <c r="EA854" i="97"/>
  <c r="DW854" i="97"/>
  <c r="DS854" i="97"/>
  <c r="DO854" i="97"/>
  <c r="DK854" i="97"/>
  <c r="DG854" i="97"/>
  <c r="DC854" i="97"/>
  <c r="CY854" i="97"/>
  <c r="CU854" i="97"/>
  <c r="CQ854" i="97"/>
  <c r="CM854" i="97"/>
  <c r="CI854" i="97"/>
  <c r="CE854" i="97"/>
  <c r="CA854" i="97"/>
  <c r="BW854" i="97"/>
  <c r="BS854" i="97"/>
  <c r="BO854" i="97"/>
  <c r="BK854" i="97"/>
  <c r="BG854" i="97"/>
  <c r="BC854" i="97"/>
  <c r="AY854" i="97"/>
  <c r="AU854" i="97"/>
  <c r="AQ854" i="97"/>
  <c r="AM854" i="97"/>
  <c r="AI854" i="97"/>
  <c r="AE854" i="97"/>
  <c r="AA854" i="97"/>
  <c r="MR854" i="97"/>
  <c r="ML854" i="97"/>
  <c r="MG854" i="97"/>
  <c r="MB854" i="97"/>
  <c r="LV854" i="97"/>
  <c r="LQ854" i="97"/>
  <c r="LL854" i="97"/>
  <c r="LF854" i="97"/>
  <c r="LA854" i="97"/>
  <c r="KV854" i="97"/>
  <c r="KP854" i="97"/>
  <c r="KK854" i="97"/>
  <c r="KF854" i="97"/>
  <c r="JZ854" i="97"/>
  <c r="JU854" i="97"/>
  <c r="JP854" i="97"/>
  <c r="JJ854" i="97"/>
  <c r="JE854" i="97"/>
  <c r="IZ854" i="97"/>
  <c r="IT854" i="97"/>
  <c r="IO854" i="97"/>
  <c r="IJ854" i="97"/>
  <c r="ID854" i="97"/>
  <c r="HY854" i="97"/>
  <c r="HT854" i="97"/>
  <c r="HN854" i="97"/>
  <c r="HI854" i="97"/>
  <c r="HD854" i="97"/>
  <c r="GX854" i="97"/>
  <c r="GS854" i="97"/>
  <c r="GN854" i="97"/>
  <c r="GH854" i="97"/>
  <c r="GC854" i="97"/>
  <c r="FX854" i="97"/>
  <c r="FR854" i="97"/>
  <c r="FM854" i="97"/>
  <c r="FH854" i="97"/>
  <c r="FB854" i="97"/>
  <c r="EW854" i="97"/>
  <c r="ER854" i="97"/>
  <c r="EL854" i="97"/>
  <c r="EG854" i="97"/>
  <c r="EB854" i="97"/>
  <c r="DV854" i="97"/>
  <c r="DQ854" i="97"/>
  <c r="DL854" i="97"/>
  <c r="DF854" i="97"/>
  <c r="DA854" i="97"/>
  <c r="CV854" i="97"/>
  <c r="CP854" i="97"/>
  <c r="CK854" i="97"/>
  <c r="CF854" i="97"/>
  <c r="BZ854" i="97"/>
  <c r="BU854" i="97"/>
  <c r="BP854" i="97"/>
  <c r="BJ854" i="97"/>
  <c r="BE854" i="97"/>
  <c r="AZ854" i="97"/>
  <c r="AT854" i="97"/>
  <c r="AO854" i="97"/>
  <c r="AJ854" i="97"/>
  <c r="AD854" i="97"/>
  <c r="Y854" i="97"/>
  <c r="MP854" i="97"/>
  <c r="MK854" i="97"/>
  <c r="MF854" i="97"/>
  <c r="LZ854" i="97"/>
  <c r="LU854" i="97"/>
  <c r="LP854" i="97"/>
  <c r="LJ854" i="97"/>
  <c r="LE854" i="97"/>
  <c r="KZ854" i="97"/>
  <c r="KT854" i="97"/>
  <c r="KO854" i="97"/>
  <c r="KJ854" i="97"/>
  <c r="KD854" i="97"/>
  <c r="JY854" i="97"/>
  <c r="JT854" i="97"/>
  <c r="JN854" i="97"/>
  <c r="JI854" i="97"/>
  <c r="JD854" i="97"/>
  <c r="IX854" i="97"/>
  <c r="IS854" i="97"/>
  <c r="IN854" i="97"/>
  <c r="IH854" i="97"/>
  <c r="IC854" i="97"/>
  <c r="HX854" i="97"/>
  <c r="HR854" i="97"/>
  <c r="HM854" i="97"/>
  <c r="HH854" i="97"/>
  <c r="HB854" i="97"/>
  <c r="GW854" i="97"/>
  <c r="GR854" i="97"/>
  <c r="GL854" i="97"/>
  <c r="GG854" i="97"/>
  <c r="GB854" i="97"/>
  <c r="FV854" i="97"/>
  <c r="FQ854" i="97"/>
  <c r="FL854" i="97"/>
  <c r="FF854" i="97"/>
  <c r="FA854" i="97"/>
  <c r="EV854" i="97"/>
  <c r="EP854" i="97"/>
  <c r="EK854" i="97"/>
  <c r="EF854" i="97"/>
  <c r="DZ854" i="97"/>
  <c r="DU854" i="97"/>
  <c r="DP854" i="97"/>
  <c r="DJ854" i="97"/>
  <c r="DE854" i="97"/>
  <c r="CZ854" i="97"/>
  <c r="CT854" i="97"/>
  <c r="CO854" i="97"/>
  <c r="CJ854" i="97"/>
  <c r="CD854" i="97"/>
  <c r="BY854" i="97"/>
  <c r="BT854" i="97"/>
  <c r="BN854" i="97"/>
  <c r="BI854" i="97"/>
  <c r="BD854" i="97"/>
  <c r="AX854" i="97"/>
  <c r="AS854" i="97"/>
  <c r="AN854" i="97"/>
  <c r="AH854" i="97"/>
  <c r="AC854" i="97"/>
  <c r="X854" i="97"/>
  <c r="AF854" i="97"/>
  <c r="AP854" i="97"/>
  <c r="BA854" i="97"/>
  <c r="BL854" i="97"/>
  <c r="BV854" i="97"/>
  <c r="CG854" i="97"/>
  <c r="CR854" i="97"/>
  <c r="DB854" i="97"/>
  <c r="DM854" i="97"/>
  <c r="DX854" i="97"/>
  <c r="EH854" i="97"/>
  <c r="ES854" i="97"/>
  <c r="FD854" i="97"/>
  <c r="FN854" i="97"/>
  <c r="FY854" i="97"/>
  <c r="GJ854" i="97"/>
  <c r="GT854" i="97"/>
  <c r="HE854" i="97"/>
  <c r="HP854" i="97"/>
  <c r="HZ854" i="97"/>
  <c r="IK854" i="97"/>
  <c r="IV854" i="97"/>
  <c r="JF854" i="97"/>
  <c r="JQ854" i="97"/>
  <c r="KB854" i="97"/>
  <c r="KL854" i="97"/>
  <c r="KW854" i="97"/>
  <c r="LH854" i="97"/>
  <c r="LR854" i="97"/>
  <c r="MC854" i="97"/>
  <c r="MN854" i="97"/>
  <c r="AB855" i="97"/>
  <c r="AL855" i="97"/>
  <c r="AW855" i="97"/>
  <c r="BH855" i="97"/>
  <c r="BR855" i="97"/>
  <c r="CC855" i="97"/>
  <c r="CN855" i="97"/>
  <c r="CX855" i="97"/>
  <c r="DI855" i="97"/>
  <c r="DT855" i="97"/>
  <c r="ED855" i="97"/>
  <c r="EO855" i="97"/>
  <c r="EZ855" i="97"/>
  <c r="FJ855" i="97"/>
  <c r="FU855" i="97"/>
  <c r="GF855" i="97"/>
  <c r="GP855" i="97"/>
  <c r="HA855" i="97"/>
  <c r="HL855" i="97"/>
  <c r="HV855" i="97"/>
  <c r="LN855" i="97"/>
  <c r="LY855" i="97"/>
  <c r="M856" i="97"/>
  <c r="Y856" i="97"/>
  <c r="AJ856" i="97"/>
  <c r="AT856" i="97"/>
  <c r="BE856" i="97"/>
  <c r="BP856" i="97"/>
  <c r="BZ856" i="97"/>
  <c r="CK856" i="97"/>
  <c r="CV856" i="97"/>
  <c r="DF856" i="97"/>
  <c r="DQ856" i="97"/>
  <c r="EB856" i="97"/>
  <c r="EL856" i="97"/>
  <c r="EW856" i="97"/>
  <c r="FH856" i="97"/>
  <c r="FR856" i="97"/>
  <c r="GC856" i="97"/>
  <c r="GN856" i="97"/>
  <c r="GX856" i="97"/>
  <c r="HI856" i="97"/>
  <c r="HT856" i="97"/>
  <c r="ID856" i="97"/>
  <c r="IO856" i="97"/>
  <c r="IZ856" i="97"/>
  <c r="JJ856" i="97"/>
  <c r="JU856" i="97"/>
  <c r="KF856" i="97"/>
  <c r="KP856" i="97"/>
  <c r="LA856" i="97"/>
  <c r="LL856" i="97"/>
  <c r="LV856" i="97"/>
  <c r="MG856" i="97"/>
  <c r="MR856" i="97"/>
  <c r="IH857" i="97"/>
  <c r="IX857" i="97"/>
  <c r="JN857" i="97"/>
  <c r="KD857" i="97"/>
  <c r="KT857" i="97"/>
  <c r="MR860" i="97"/>
  <c r="MN860" i="97"/>
  <c r="MJ860" i="97"/>
  <c r="MF860" i="97"/>
  <c r="MB860" i="97"/>
  <c r="LX860" i="97"/>
  <c r="LT860" i="97"/>
  <c r="LP860" i="97"/>
  <c r="LL860" i="97"/>
  <c r="LD860" i="97"/>
  <c r="KZ860" i="97"/>
  <c r="KV860" i="97"/>
  <c r="KR860" i="97"/>
  <c r="KN860" i="97"/>
  <c r="KJ860" i="97"/>
  <c r="KF860" i="97"/>
  <c r="KB860" i="97"/>
  <c r="JX860" i="97"/>
  <c r="JT860" i="97"/>
  <c r="JP860" i="97"/>
  <c r="JL860" i="97"/>
  <c r="JH860" i="97"/>
  <c r="JD860" i="97"/>
  <c r="IZ860" i="97"/>
  <c r="IV860" i="97"/>
  <c r="IR860" i="97"/>
  <c r="IN860" i="97"/>
  <c r="IJ860" i="97"/>
  <c r="IF860" i="97"/>
  <c r="IB860" i="97"/>
  <c r="HX860" i="97"/>
  <c r="HT860" i="97"/>
  <c r="HP860" i="97"/>
  <c r="HL860" i="97"/>
  <c r="HH860" i="97"/>
  <c r="HD860" i="97"/>
  <c r="GZ860" i="97"/>
  <c r="GV860" i="97"/>
  <c r="GR860" i="97"/>
  <c r="GN860" i="97"/>
  <c r="GJ860" i="97"/>
  <c r="GF860" i="97"/>
  <c r="GB860" i="97"/>
  <c r="FX860" i="97"/>
  <c r="FT860" i="97"/>
  <c r="FP860" i="97"/>
  <c r="FL860" i="97"/>
  <c r="FH860" i="97"/>
  <c r="FD860" i="97"/>
  <c r="EZ860" i="97"/>
  <c r="EV860" i="97"/>
  <c r="ER860" i="97"/>
  <c r="EN860" i="97"/>
  <c r="EJ860" i="97"/>
  <c r="EF860" i="97"/>
  <c r="EB860" i="97"/>
  <c r="DX860" i="97"/>
  <c r="DT860" i="97"/>
  <c r="DP860" i="97"/>
  <c r="DL860" i="97"/>
  <c r="DH860" i="97"/>
  <c r="DD860" i="97"/>
  <c r="CZ860" i="97"/>
  <c r="CV860" i="97"/>
  <c r="CR860" i="97"/>
  <c r="CN860" i="97"/>
  <c r="CJ860" i="97"/>
  <c r="CF860" i="97"/>
  <c r="CB860" i="97"/>
  <c r="BX860" i="97"/>
  <c r="BT860" i="97"/>
  <c r="BP860" i="97"/>
  <c r="BL860" i="97"/>
  <c r="BH860" i="97"/>
  <c r="BD860" i="97"/>
  <c r="AZ860" i="97"/>
  <c r="AV860" i="97"/>
  <c r="AR860" i="97"/>
  <c r="AN860" i="97"/>
  <c r="AJ860" i="97"/>
  <c r="AF860" i="97"/>
  <c r="AB860" i="97"/>
  <c r="X860" i="97"/>
  <c r="MQ860" i="97"/>
  <c r="MM860" i="97"/>
  <c r="MI860" i="97"/>
  <c r="ME860" i="97"/>
  <c r="MA860" i="97"/>
  <c r="LW860" i="97"/>
  <c r="LS860" i="97"/>
  <c r="LO860" i="97"/>
  <c r="LC860" i="97"/>
  <c r="KY860" i="97"/>
  <c r="KU860" i="97"/>
  <c r="KQ860" i="97"/>
  <c r="KM860" i="97"/>
  <c r="KI860" i="97"/>
  <c r="KE860" i="97"/>
  <c r="KA860" i="97"/>
  <c r="JW860" i="97"/>
  <c r="JS860" i="97"/>
  <c r="JO860" i="97"/>
  <c r="JK860" i="97"/>
  <c r="JG860" i="97"/>
  <c r="JC860" i="97"/>
  <c r="IY860" i="97"/>
  <c r="IU860" i="97"/>
  <c r="IQ860" i="97"/>
  <c r="IM860" i="97"/>
  <c r="II860" i="97"/>
  <c r="IE860" i="97"/>
  <c r="IA860" i="97"/>
  <c r="HW860" i="97"/>
  <c r="HS860" i="97"/>
  <c r="HO860" i="97"/>
  <c r="HK860" i="97"/>
  <c r="HG860" i="97"/>
  <c r="HC860" i="97"/>
  <c r="GY860" i="97"/>
  <c r="GU860" i="97"/>
  <c r="GQ860" i="97"/>
  <c r="GM860" i="97"/>
  <c r="GI860" i="97"/>
  <c r="GE860" i="97"/>
  <c r="GA860" i="97"/>
  <c r="FW860" i="97"/>
  <c r="FS860" i="97"/>
  <c r="FO860" i="97"/>
  <c r="FK860" i="97"/>
  <c r="FG860" i="97"/>
  <c r="FC860" i="97"/>
  <c r="EY860" i="97"/>
  <c r="EU860" i="97"/>
  <c r="EQ860" i="97"/>
  <c r="EM860" i="97"/>
  <c r="EI860" i="97"/>
  <c r="EE860" i="97"/>
  <c r="EA860" i="97"/>
  <c r="DW860" i="97"/>
  <c r="DS860" i="97"/>
  <c r="DO860" i="97"/>
  <c r="DK860" i="97"/>
  <c r="DG860" i="97"/>
  <c r="DC860" i="97"/>
  <c r="CY860" i="97"/>
  <c r="CU860" i="97"/>
  <c r="CQ860" i="97"/>
  <c r="CM860" i="97"/>
  <c r="CI860" i="97"/>
  <c r="CE860" i="97"/>
  <c r="CA860" i="97"/>
  <c r="BW860" i="97"/>
  <c r="BS860" i="97"/>
  <c r="BO860" i="97"/>
  <c r="BK860" i="97"/>
  <c r="BG860" i="97"/>
  <c r="BC860" i="97"/>
  <c r="AY860" i="97"/>
  <c r="AU860" i="97"/>
  <c r="AQ860" i="97"/>
  <c r="AM860" i="97"/>
  <c r="AI860" i="97"/>
  <c r="AE860" i="97"/>
  <c r="AA860" i="97"/>
  <c r="MP860" i="97"/>
  <c r="MH860" i="97"/>
  <c r="LZ860" i="97"/>
  <c r="LR860" i="97"/>
  <c r="LJ860" i="97"/>
  <c r="LB860" i="97"/>
  <c r="KT860" i="97"/>
  <c r="KL860" i="97"/>
  <c r="KD860" i="97"/>
  <c r="JV860" i="97"/>
  <c r="JN860" i="97"/>
  <c r="JF860" i="97"/>
  <c r="IX860" i="97"/>
  <c r="IP860" i="97"/>
  <c r="IH860" i="97"/>
  <c r="HZ860" i="97"/>
  <c r="HR860" i="97"/>
  <c r="HJ860" i="97"/>
  <c r="HB860" i="97"/>
  <c r="GT860" i="97"/>
  <c r="GL860" i="97"/>
  <c r="GD860" i="97"/>
  <c r="FV860" i="97"/>
  <c r="FN860" i="97"/>
  <c r="FF860" i="97"/>
  <c r="EX860" i="97"/>
  <c r="EP860" i="97"/>
  <c r="EH860" i="97"/>
  <c r="DZ860" i="97"/>
  <c r="DR860" i="97"/>
  <c r="DJ860" i="97"/>
  <c r="DB860" i="97"/>
  <c r="CT860" i="97"/>
  <c r="CL860" i="97"/>
  <c r="CD860" i="97"/>
  <c r="BV860" i="97"/>
  <c r="BN860" i="97"/>
  <c r="BF860" i="97"/>
  <c r="AX860" i="97"/>
  <c r="AP860" i="97"/>
  <c r="AH860" i="97"/>
  <c r="Z860" i="97"/>
  <c r="MO860" i="97"/>
  <c r="MG860" i="97"/>
  <c r="LY860" i="97"/>
  <c r="LQ860" i="97"/>
  <c r="LI860" i="97"/>
  <c r="LA860" i="97"/>
  <c r="KS860" i="97"/>
  <c r="KK860" i="97"/>
  <c r="KC860" i="97"/>
  <c r="JU860" i="97"/>
  <c r="JM860" i="97"/>
  <c r="JE860" i="97"/>
  <c r="IW860" i="97"/>
  <c r="IO860" i="97"/>
  <c r="IG860" i="97"/>
  <c r="HY860" i="97"/>
  <c r="HQ860" i="97"/>
  <c r="HI860" i="97"/>
  <c r="HA860" i="97"/>
  <c r="GS860" i="97"/>
  <c r="GK860" i="97"/>
  <c r="GC860" i="97"/>
  <c r="FU860" i="97"/>
  <c r="FM860" i="97"/>
  <c r="FE860" i="97"/>
  <c r="EW860" i="97"/>
  <c r="EO860" i="97"/>
  <c r="EG860" i="97"/>
  <c r="DY860" i="97"/>
  <c r="DQ860" i="97"/>
  <c r="DI860" i="97"/>
  <c r="DA860" i="97"/>
  <c r="CS860" i="97"/>
  <c r="CK860" i="97"/>
  <c r="CC860" i="97"/>
  <c r="BU860" i="97"/>
  <c r="BM860" i="97"/>
  <c r="BE860" i="97"/>
  <c r="AW860" i="97"/>
  <c r="AO860" i="97"/>
  <c r="AG860" i="97"/>
  <c r="Y860" i="97"/>
  <c r="MT860" i="97"/>
  <c r="ML860" i="97"/>
  <c r="MD860" i="97"/>
  <c r="LV860" i="97"/>
  <c r="LN860" i="97"/>
  <c r="LF860" i="97"/>
  <c r="KX860" i="97"/>
  <c r="KP860" i="97"/>
  <c r="KH860" i="97"/>
  <c r="JZ860" i="97"/>
  <c r="JR860" i="97"/>
  <c r="JJ860" i="97"/>
  <c r="JB860" i="97"/>
  <c r="IT860" i="97"/>
  <c r="IL860" i="97"/>
  <c r="ID860" i="97"/>
  <c r="HV860" i="97"/>
  <c r="HN860" i="97"/>
  <c r="HF860" i="97"/>
  <c r="GX860" i="97"/>
  <c r="GP860" i="97"/>
  <c r="GH860" i="97"/>
  <c r="FZ860" i="97"/>
  <c r="FR860" i="97"/>
  <c r="FJ860" i="97"/>
  <c r="FB860" i="97"/>
  <c r="ET860" i="97"/>
  <c r="EL860" i="97"/>
  <c r="ED860" i="97"/>
  <c r="DV860" i="97"/>
  <c r="DN860" i="97"/>
  <c r="DF860" i="97"/>
  <c r="CX860" i="97"/>
  <c r="CP860" i="97"/>
  <c r="CH860" i="97"/>
  <c r="BZ860" i="97"/>
  <c r="BR860" i="97"/>
  <c r="BJ860" i="97"/>
  <c r="BB860" i="97"/>
  <c r="AT860" i="97"/>
  <c r="AL860" i="97"/>
  <c r="AD860" i="97"/>
  <c r="BA860" i="97"/>
  <c r="CG860" i="97"/>
  <c r="DM860" i="97"/>
  <c r="ES860" i="97"/>
  <c r="FY860" i="97"/>
  <c r="HE860" i="97"/>
  <c r="IK860" i="97"/>
  <c r="JQ860" i="97"/>
  <c r="KW860" i="97"/>
  <c r="MC860" i="97"/>
  <c r="DB865" i="97"/>
  <c r="GI865" i="97"/>
  <c r="MM867" i="97"/>
  <c r="MF867" i="97"/>
  <c r="MR867" i="97"/>
  <c r="ML867" i="97"/>
  <c r="E172" i="90"/>
  <c r="G51" i="96"/>
  <c r="G50" i="96"/>
  <c r="G49" i="96"/>
  <c r="G48" i="96"/>
  <c r="G47" i="96"/>
  <c r="G46" i="96"/>
  <c r="G45" i="96"/>
  <c r="G44" i="96"/>
  <c r="G43" i="96"/>
  <c r="G42" i="96"/>
  <c r="G41" i="96"/>
  <c r="G40" i="96"/>
  <c r="G39" i="96"/>
  <c r="G38" i="96"/>
  <c r="G37" i="96"/>
  <c r="G36" i="96"/>
  <c r="G35" i="96"/>
  <c r="G34" i="96"/>
  <c r="G33" i="96"/>
  <c r="I58" i="96"/>
  <c r="K64" i="96" s="1"/>
  <c r="K69" i="96" s="1"/>
  <c r="J51" i="93"/>
  <c r="J50" i="93"/>
  <c r="K50" i="93" s="1"/>
  <c r="J49" i="93"/>
  <c r="J48" i="93"/>
  <c r="J47" i="93"/>
  <c r="J46" i="93"/>
  <c r="J45" i="93"/>
  <c r="K45" i="93" s="1"/>
  <c r="J44" i="93"/>
  <c r="K44" i="93" s="1"/>
  <c r="J43" i="93"/>
  <c r="J42" i="93"/>
  <c r="K42" i="93" s="1"/>
  <c r="J41" i="93"/>
  <c r="K41" i="93" s="1"/>
  <c r="J40" i="93"/>
  <c r="J39" i="93"/>
  <c r="J38" i="93"/>
  <c r="J37" i="93"/>
  <c r="K37" i="93" s="1"/>
  <c r="J36" i="93"/>
  <c r="K36" i="93" s="1"/>
  <c r="J35" i="93"/>
  <c r="J34" i="93"/>
  <c r="K34" i="93" s="1"/>
  <c r="J33" i="93"/>
  <c r="K33" i="93" s="1"/>
  <c r="K52" i="93" s="1"/>
  <c r="K54" i="93" s="1"/>
  <c r="K68" i="93" s="1"/>
  <c r="K70" i="93" s="1"/>
  <c r="L467" i="97"/>
  <c r="U520" i="97"/>
  <c r="S527" i="97"/>
  <c r="J539" i="97"/>
  <c r="P576" i="97"/>
  <c r="U575" i="97"/>
  <c r="J589" i="97"/>
  <c r="M595" i="97"/>
  <c r="S617" i="97"/>
  <c r="AD629" i="97"/>
  <c r="AD627" i="97"/>
  <c r="AD630" i="97"/>
  <c r="M647" i="97"/>
  <c r="J830" i="97"/>
  <c r="LK851" i="97"/>
  <c r="LG851" i="97"/>
  <c r="A851" i="97"/>
  <c r="LJ851" i="97"/>
  <c r="AB851" i="97"/>
  <c r="AJ851" i="97"/>
  <c r="AR851" i="97"/>
  <c r="AZ851" i="97"/>
  <c r="BH851" i="97"/>
  <c r="BP851" i="97"/>
  <c r="BX851" i="97"/>
  <c r="CF851" i="97"/>
  <c r="CN851" i="97"/>
  <c r="CV851" i="97"/>
  <c r="DD851" i="97"/>
  <c r="DL851" i="97"/>
  <c r="DT851" i="97"/>
  <c r="EB851" i="97"/>
  <c r="EJ851" i="97"/>
  <c r="ER851" i="97"/>
  <c r="EZ851" i="97"/>
  <c r="FH851" i="97"/>
  <c r="FP851" i="97"/>
  <c r="FX851" i="97"/>
  <c r="GF851" i="97"/>
  <c r="GN851" i="97"/>
  <c r="GV851" i="97"/>
  <c r="HD851" i="97"/>
  <c r="HL851" i="97"/>
  <c r="HT851" i="97"/>
  <c r="IB851" i="97"/>
  <c r="IJ851" i="97"/>
  <c r="IR851" i="97"/>
  <c r="IZ851" i="97"/>
  <c r="JH851" i="97"/>
  <c r="JP851" i="97"/>
  <c r="JX851" i="97"/>
  <c r="KF851" i="97"/>
  <c r="KN851" i="97"/>
  <c r="KV851" i="97"/>
  <c r="LD851" i="97"/>
  <c r="LL851" i="97"/>
  <c r="LT851" i="97"/>
  <c r="MB851" i="97"/>
  <c r="MJ851" i="97"/>
  <c r="L852" i="97"/>
  <c r="M852" i="97" s="1"/>
  <c r="X852" i="97"/>
  <c r="AF852" i="97"/>
  <c r="AN852" i="97"/>
  <c r="AV852" i="97"/>
  <c r="BD852" i="97"/>
  <c r="BL852" i="97"/>
  <c r="BT852" i="97"/>
  <c r="CB852" i="97"/>
  <c r="CJ852" i="97"/>
  <c r="CT852" i="97"/>
  <c r="DE852" i="97"/>
  <c r="DP852" i="97"/>
  <c r="DZ852" i="97"/>
  <c r="EK852" i="97"/>
  <c r="EV852" i="97"/>
  <c r="FF852" i="97"/>
  <c r="FQ852" i="97"/>
  <c r="GB852" i="97"/>
  <c r="GL852" i="97"/>
  <c r="GW852" i="97"/>
  <c r="HH852" i="97"/>
  <c r="HR852" i="97"/>
  <c r="IC852" i="97"/>
  <c r="IN852" i="97"/>
  <c r="IX852" i="97"/>
  <c r="JI852" i="97"/>
  <c r="JT852" i="97"/>
  <c r="KD852" i="97"/>
  <c r="KO852" i="97"/>
  <c r="KZ852" i="97"/>
  <c r="LU852" i="97"/>
  <c r="MF852" i="97"/>
  <c r="MP852" i="97"/>
  <c r="L853" i="97"/>
  <c r="Y853" i="97"/>
  <c r="AJ853" i="97"/>
  <c r="AT853" i="97"/>
  <c r="BE853" i="97"/>
  <c r="BP853" i="97"/>
  <c r="BZ853" i="97"/>
  <c r="CK853" i="97"/>
  <c r="CV853" i="97"/>
  <c r="DF853" i="97"/>
  <c r="DQ853" i="97"/>
  <c r="EB853" i="97"/>
  <c r="EL853" i="97"/>
  <c r="EW853" i="97"/>
  <c r="FH853" i="97"/>
  <c r="FR853" i="97"/>
  <c r="GC853" i="97"/>
  <c r="GN853" i="97"/>
  <c r="GX853" i="97"/>
  <c r="HI853" i="97"/>
  <c r="HT853" i="97"/>
  <c r="ID853" i="97"/>
  <c r="IO853" i="97"/>
  <c r="IZ853" i="97"/>
  <c r="JJ853" i="97"/>
  <c r="JU853" i="97"/>
  <c r="KF853" i="97"/>
  <c r="KP853" i="97"/>
  <c r="LA853" i="97"/>
  <c r="LL853" i="97"/>
  <c r="LV853" i="97"/>
  <c r="MG853" i="97"/>
  <c r="MR853" i="97"/>
  <c r="AG854" i="97"/>
  <c r="AR854" i="97"/>
  <c r="BB854" i="97"/>
  <c r="BM854" i="97"/>
  <c r="BX854" i="97"/>
  <c r="CH854" i="97"/>
  <c r="CS854" i="97"/>
  <c r="DD854" i="97"/>
  <c r="DN854" i="97"/>
  <c r="DY854" i="97"/>
  <c r="EJ854" i="97"/>
  <c r="ET854" i="97"/>
  <c r="FE854" i="97"/>
  <c r="FP854" i="97"/>
  <c r="FZ854" i="97"/>
  <c r="GK854" i="97"/>
  <c r="GV854" i="97"/>
  <c r="HF854" i="97"/>
  <c r="HQ854" i="97"/>
  <c r="IB854" i="97"/>
  <c r="IL854" i="97"/>
  <c r="IW854" i="97"/>
  <c r="JH854" i="97"/>
  <c r="JR854" i="97"/>
  <c r="KC854" i="97"/>
  <c r="KN854" i="97"/>
  <c r="KX854" i="97"/>
  <c r="LI854" i="97"/>
  <c r="LT854" i="97"/>
  <c r="MD854" i="97"/>
  <c r="MO854" i="97"/>
  <c r="AC855" i="97"/>
  <c r="AN855" i="97"/>
  <c r="AX855" i="97"/>
  <c r="BI855" i="97"/>
  <c r="BT855" i="97"/>
  <c r="CD855" i="97"/>
  <c r="CO855" i="97"/>
  <c r="CZ855" i="97"/>
  <c r="DJ855" i="97"/>
  <c r="DU855" i="97"/>
  <c r="EF855" i="97"/>
  <c r="EP855" i="97"/>
  <c r="FA855" i="97"/>
  <c r="FL855" i="97"/>
  <c r="FV855" i="97"/>
  <c r="GG855" i="97"/>
  <c r="GR855" i="97"/>
  <c r="HB855" i="97"/>
  <c r="HM855" i="97"/>
  <c r="HX855" i="97"/>
  <c r="LP855" i="97"/>
  <c r="LZ855" i="97"/>
  <c r="LK856" i="97"/>
  <c r="LG856" i="97"/>
  <c r="A856" i="97"/>
  <c r="LI856" i="97"/>
  <c r="LH856" i="97"/>
  <c r="AC856" i="97"/>
  <c r="AN856" i="97"/>
  <c r="AX856" i="97"/>
  <c r="BI856" i="97"/>
  <c r="BT856" i="97"/>
  <c r="CD856" i="97"/>
  <c r="CO856" i="97"/>
  <c r="CZ856" i="97"/>
  <c r="DJ856" i="97"/>
  <c r="DU856" i="97"/>
  <c r="EF856" i="97"/>
  <c r="EP856" i="97"/>
  <c r="FA856" i="97"/>
  <c r="FL856" i="97"/>
  <c r="FV856" i="97"/>
  <c r="GG856" i="97"/>
  <c r="GR856" i="97"/>
  <c r="HB856" i="97"/>
  <c r="HM856" i="97"/>
  <c r="HX856" i="97"/>
  <c r="IH856" i="97"/>
  <c r="IS856" i="97"/>
  <c r="JD856" i="97"/>
  <c r="JN856" i="97"/>
  <c r="JY856" i="97"/>
  <c r="KJ856" i="97"/>
  <c r="KT856" i="97"/>
  <c r="LE856" i="97"/>
  <c r="LP856" i="97"/>
  <c r="LZ856" i="97"/>
  <c r="MK856" i="97"/>
  <c r="LH857" i="97"/>
  <c r="LK857" i="97"/>
  <c r="LG857" i="97"/>
  <c r="A857" i="97"/>
  <c r="AD857" i="97"/>
  <c r="AO857" i="97"/>
  <c r="AZ857" i="97"/>
  <c r="BJ857" i="97"/>
  <c r="BU857" i="97"/>
  <c r="CF857" i="97"/>
  <c r="CP857" i="97"/>
  <c r="DA857" i="97"/>
  <c r="DL857" i="97"/>
  <c r="DV857" i="97"/>
  <c r="EG857" i="97"/>
  <c r="ER857" i="97"/>
  <c r="FB857" i="97"/>
  <c r="FM857" i="97"/>
  <c r="FX857" i="97"/>
  <c r="GH857" i="97"/>
  <c r="GS857" i="97"/>
  <c r="HD857" i="97"/>
  <c r="HN857" i="97"/>
  <c r="HY857" i="97"/>
  <c r="IO857" i="97"/>
  <c r="JE857" i="97"/>
  <c r="JU857" i="97"/>
  <c r="KK857" i="97"/>
  <c r="LA857" i="97"/>
  <c r="LQ857" i="97"/>
  <c r="LH858" i="97"/>
  <c r="AK858" i="97"/>
  <c r="BA858" i="97"/>
  <c r="BQ858" i="97"/>
  <c r="CG858" i="97"/>
  <c r="CW858" i="97"/>
  <c r="DM858" i="97"/>
  <c r="EC858" i="97"/>
  <c r="ES858" i="97"/>
  <c r="FI858" i="97"/>
  <c r="FY858" i="97"/>
  <c r="GO858" i="97"/>
  <c r="HE858" i="97"/>
  <c r="HU858" i="97"/>
  <c r="IK858" i="97"/>
  <c r="JA858" i="97"/>
  <c r="JQ858" i="97"/>
  <c r="KG858" i="97"/>
  <c r="KW858" i="97"/>
  <c r="LM858" i="97"/>
  <c r="MC858" i="97"/>
  <c r="MS859" i="97"/>
  <c r="MK859" i="97"/>
  <c r="LE859" i="97"/>
  <c r="KW859" i="97"/>
  <c r="KO859" i="97"/>
  <c r="KG859" i="97"/>
  <c r="JY859" i="97"/>
  <c r="JQ859" i="97"/>
  <c r="JI859" i="97"/>
  <c r="JA859" i="97"/>
  <c r="IS859" i="97"/>
  <c r="IK859" i="97"/>
  <c r="IC859" i="97"/>
  <c r="IH859" i="97"/>
  <c r="IX859" i="97"/>
  <c r="JN859" i="97"/>
  <c r="KD859" i="97"/>
  <c r="KT859" i="97"/>
  <c r="MO859" i="97"/>
  <c r="AC860" i="97"/>
  <c r="BI860" i="97"/>
  <c r="CO860" i="97"/>
  <c r="DU860" i="97"/>
  <c r="FA860" i="97"/>
  <c r="GG860" i="97"/>
  <c r="HM860" i="97"/>
  <c r="IS860" i="97"/>
  <c r="JY860" i="97"/>
  <c r="LE860" i="97"/>
  <c r="MK860" i="97"/>
  <c r="BY862" i="97"/>
  <c r="DE862" i="97"/>
  <c r="HF862" i="97"/>
  <c r="BO864" i="97"/>
  <c r="BV865" i="97"/>
  <c r="DM865" i="97"/>
  <c r="GT865" i="97"/>
  <c r="LR865" i="97"/>
  <c r="IU868" i="97"/>
  <c r="MB870" i="97"/>
  <c r="LW870" i="97"/>
  <c r="LR870" i="97"/>
  <c r="HT870" i="97"/>
  <c r="HO870" i="97"/>
  <c r="HJ870" i="97"/>
  <c r="HD870" i="97"/>
  <c r="GY870" i="97"/>
  <c r="GT870" i="97"/>
  <c r="GN870" i="97"/>
  <c r="GI870" i="97"/>
  <c r="ME870" i="97"/>
  <c r="LZ870" i="97"/>
  <c r="LT870" i="97"/>
  <c r="HW870" i="97"/>
  <c r="HR870" i="97"/>
  <c r="HL870" i="97"/>
  <c r="HG870" i="97"/>
  <c r="HB870" i="97"/>
  <c r="GV870" i="97"/>
  <c r="GQ870" i="97"/>
  <c r="GL870" i="97"/>
  <c r="MA870" i="97"/>
  <c r="HS870" i="97"/>
  <c r="HH870" i="97"/>
  <c r="GX870" i="97"/>
  <c r="GM870" i="97"/>
  <c r="MI870" i="97"/>
  <c r="LV870" i="97"/>
  <c r="HV870" i="97"/>
  <c r="HF870" i="97"/>
  <c r="GR870" i="97"/>
  <c r="MF870" i="97"/>
  <c r="LS870" i="97"/>
  <c r="HP870" i="97"/>
  <c r="HC870" i="97"/>
  <c r="GP870" i="97"/>
  <c r="MD870" i="97"/>
  <c r="HN870" i="97"/>
  <c r="GZ870" i="97"/>
  <c r="GJ870" i="97"/>
  <c r="MN870" i="97"/>
  <c r="GU870" i="97"/>
  <c r="LX870" i="97"/>
  <c r="GH870" i="97"/>
  <c r="HX870" i="97"/>
  <c r="G531" i="97"/>
  <c r="MQ851" i="97"/>
  <c r="MM851" i="97"/>
  <c r="MI851" i="97"/>
  <c r="ME851" i="97"/>
  <c r="MA851" i="97"/>
  <c r="LW851" i="97"/>
  <c r="LS851" i="97"/>
  <c r="LO851" i="97"/>
  <c r="LC851" i="97"/>
  <c r="KY851" i="97"/>
  <c r="KU851" i="97"/>
  <c r="KQ851" i="97"/>
  <c r="KM851" i="97"/>
  <c r="KI851" i="97"/>
  <c r="KE851" i="97"/>
  <c r="KA851" i="97"/>
  <c r="JW851" i="97"/>
  <c r="JS851" i="97"/>
  <c r="JO851" i="97"/>
  <c r="JK851" i="97"/>
  <c r="JG851" i="97"/>
  <c r="JC851" i="97"/>
  <c r="IY851" i="97"/>
  <c r="IU851" i="97"/>
  <c r="IQ851" i="97"/>
  <c r="IM851" i="97"/>
  <c r="II851" i="97"/>
  <c r="IE851" i="97"/>
  <c r="IA851" i="97"/>
  <c r="HW851" i="97"/>
  <c r="HS851" i="97"/>
  <c r="HO851" i="97"/>
  <c r="HK851" i="97"/>
  <c r="HG851" i="97"/>
  <c r="HC851" i="97"/>
  <c r="GY851" i="97"/>
  <c r="GU851" i="97"/>
  <c r="GQ851" i="97"/>
  <c r="GM851" i="97"/>
  <c r="GI851" i="97"/>
  <c r="GE851" i="97"/>
  <c r="GA851" i="97"/>
  <c r="FW851" i="97"/>
  <c r="FS851" i="97"/>
  <c r="FO851" i="97"/>
  <c r="FK851" i="97"/>
  <c r="FG851" i="97"/>
  <c r="FC851" i="97"/>
  <c r="EY851" i="97"/>
  <c r="EU851" i="97"/>
  <c r="EQ851" i="97"/>
  <c r="EM851" i="97"/>
  <c r="EI851" i="97"/>
  <c r="EE851" i="97"/>
  <c r="EA851" i="97"/>
  <c r="DW851" i="97"/>
  <c r="DS851" i="97"/>
  <c r="DO851" i="97"/>
  <c r="DK851" i="97"/>
  <c r="DG851" i="97"/>
  <c r="DC851" i="97"/>
  <c r="CY851" i="97"/>
  <c r="CU851" i="97"/>
  <c r="CQ851" i="97"/>
  <c r="CM851" i="97"/>
  <c r="CI851" i="97"/>
  <c r="CE851" i="97"/>
  <c r="CA851" i="97"/>
  <c r="BW851" i="97"/>
  <c r="BS851" i="97"/>
  <c r="BO851" i="97"/>
  <c r="BK851" i="97"/>
  <c r="BG851" i="97"/>
  <c r="BC851" i="97"/>
  <c r="AY851" i="97"/>
  <c r="AU851" i="97"/>
  <c r="AQ851" i="97"/>
  <c r="AM851" i="97"/>
  <c r="AI851" i="97"/>
  <c r="AE851" i="97"/>
  <c r="AA851" i="97"/>
  <c r="MT851" i="97"/>
  <c r="MP851" i="97"/>
  <c r="ML851" i="97"/>
  <c r="MH851" i="97"/>
  <c r="MD851" i="97"/>
  <c r="LZ851" i="97"/>
  <c r="LV851" i="97"/>
  <c r="LR851" i="97"/>
  <c r="LN851" i="97"/>
  <c r="LF851" i="97"/>
  <c r="LB851" i="97"/>
  <c r="KX851" i="97"/>
  <c r="KT851" i="97"/>
  <c r="KP851" i="97"/>
  <c r="KL851" i="97"/>
  <c r="KH851" i="97"/>
  <c r="KD851" i="97"/>
  <c r="JZ851" i="97"/>
  <c r="JV851" i="97"/>
  <c r="JR851" i="97"/>
  <c r="JN851" i="97"/>
  <c r="JJ851" i="97"/>
  <c r="JF851" i="97"/>
  <c r="JB851" i="97"/>
  <c r="IX851" i="97"/>
  <c r="IT851" i="97"/>
  <c r="IP851" i="97"/>
  <c r="IL851" i="97"/>
  <c r="IH851" i="97"/>
  <c r="ID851" i="97"/>
  <c r="HZ851" i="97"/>
  <c r="HV851" i="97"/>
  <c r="HR851" i="97"/>
  <c r="HN851" i="97"/>
  <c r="HJ851" i="97"/>
  <c r="HF851" i="97"/>
  <c r="HB851" i="97"/>
  <c r="GX851" i="97"/>
  <c r="GT851" i="97"/>
  <c r="GP851" i="97"/>
  <c r="GL851" i="97"/>
  <c r="GH851" i="97"/>
  <c r="GD851" i="97"/>
  <c r="FZ851" i="97"/>
  <c r="FV851" i="97"/>
  <c r="FR851" i="97"/>
  <c r="FN851" i="97"/>
  <c r="FJ851" i="97"/>
  <c r="FF851" i="97"/>
  <c r="FB851" i="97"/>
  <c r="EX851" i="97"/>
  <c r="ET851" i="97"/>
  <c r="EP851" i="97"/>
  <c r="EL851" i="97"/>
  <c r="EH851" i="97"/>
  <c r="ED851" i="97"/>
  <c r="DZ851" i="97"/>
  <c r="DV851" i="97"/>
  <c r="DR851" i="97"/>
  <c r="DN851" i="97"/>
  <c r="DJ851" i="97"/>
  <c r="DF851" i="97"/>
  <c r="DB851" i="97"/>
  <c r="CX851" i="97"/>
  <c r="CT851" i="97"/>
  <c r="CP851" i="97"/>
  <c r="CL851" i="97"/>
  <c r="CH851" i="97"/>
  <c r="CD851" i="97"/>
  <c r="BZ851" i="97"/>
  <c r="BV851" i="97"/>
  <c r="BR851" i="97"/>
  <c r="BN851" i="97"/>
  <c r="BJ851" i="97"/>
  <c r="BF851" i="97"/>
  <c r="BB851" i="97"/>
  <c r="AX851" i="97"/>
  <c r="AT851" i="97"/>
  <c r="AP851" i="97"/>
  <c r="AL851" i="97"/>
  <c r="AH851" i="97"/>
  <c r="AD851" i="97"/>
  <c r="Z851" i="97"/>
  <c r="AC851" i="97"/>
  <c r="AK851" i="97"/>
  <c r="AS851" i="97"/>
  <c r="BA851" i="97"/>
  <c r="BI851" i="97"/>
  <c r="BQ851" i="97"/>
  <c r="BY851" i="97"/>
  <c r="CG851" i="97"/>
  <c r="CO851" i="97"/>
  <c r="CW851" i="97"/>
  <c r="DE851" i="97"/>
  <c r="DM851" i="97"/>
  <c r="DU851" i="97"/>
  <c r="EC851" i="97"/>
  <c r="EK851" i="97"/>
  <c r="ES851" i="97"/>
  <c r="FA851" i="97"/>
  <c r="FI851" i="97"/>
  <c r="FQ851" i="97"/>
  <c r="FY851" i="97"/>
  <c r="GG851" i="97"/>
  <c r="GO851" i="97"/>
  <c r="GW851" i="97"/>
  <c r="HE851" i="97"/>
  <c r="HM851" i="97"/>
  <c r="HU851" i="97"/>
  <c r="IC851" i="97"/>
  <c r="IK851" i="97"/>
  <c r="IS851" i="97"/>
  <c r="JA851" i="97"/>
  <c r="JI851" i="97"/>
  <c r="JQ851" i="97"/>
  <c r="JY851" i="97"/>
  <c r="KG851" i="97"/>
  <c r="KO851" i="97"/>
  <c r="KW851" i="97"/>
  <c r="LE851" i="97"/>
  <c r="LM851" i="97"/>
  <c r="LU851" i="97"/>
  <c r="MC851" i="97"/>
  <c r="MK851" i="97"/>
  <c r="MS851" i="97"/>
  <c r="Y852" i="97"/>
  <c r="AG852" i="97"/>
  <c r="AO852" i="97"/>
  <c r="AW852" i="97"/>
  <c r="BE852" i="97"/>
  <c r="BM852" i="97"/>
  <c r="BU852" i="97"/>
  <c r="CC852" i="97"/>
  <c r="CK852" i="97"/>
  <c r="CV852" i="97"/>
  <c r="DF852" i="97"/>
  <c r="DQ852" i="97"/>
  <c r="EB852" i="97"/>
  <c r="EL852" i="97"/>
  <c r="EW852" i="97"/>
  <c r="FH852" i="97"/>
  <c r="FR852" i="97"/>
  <c r="GC852" i="97"/>
  <c r="GN852" i="97"/>
  <c r="GX852" i="97"/>
  <c r="HI852" i="97"/>
  <c r="HT852" i="97"/>
  <c r="ID852" i="97"/>
  <c r="IO852" i="97"/>
  <c r="IZ852" i="97"/>
  <c r="JJ852" i="97"/>
  <c r="JU852" i="97"/>
  <c r="KF852" i="97"/>
  <c r="KP852" i="97"/>
  <c r="LA852" i="97"/>
  <c r="LL852" i="97"/>
  <c r="LV852" i="97"/>
  <c r="MG852" i="97"/>
  <c r="MR852" i="97"/>
  <c r="Z853" i="97"/>
  <c r="AK853" i="97"/>
  <c r="AV853" i="97"/>
  <c r="BF853" i="97"/>
  <c r="BQ853" i="97"/>
  <c r="CB853" i="97"/>
  <c r="CL853" i="97"/>
  <c r="CW853" i="97"/>
  <c r="DH853" i="97"/>
  <c r="DR853" i="97"/>
  <c r="EC853" i="97"/>
  <c r="EN853" i="97"/>
  <c r="EX853" i="97"/>
  <c r="FI853" i="97"/>
  <c r="FT853" i="97"/>
  <c r="GD853" i="97"/>
  <c r="GO853" i="97"/>
  <c r="GZ853" i="97"/>
  <c r="HJ853" i="97"/>
  <c r="HU853" i="97"/>
  <c r="IF853" i="97"/>
  <c r="IP853" i="97"/>
  <c r="JA853" i="97"/>
  <c r="JL853" i="97"/>
  <c r="JV853" i="97"/>
  <c r="KG853" i="97"/>
  <c r="KR853" i="97"/>
  <c r="LB853" i="97"/>
  <c r="LM853" i="97"/>
  <c r="LX853" i="97"/>
  <c r="MH853" i="97"/>
  <c r="MS853" i="97"/>
  <c r="Z854" i="97"/>
  <c r="AK854" i="97"/>
  <c r="AV854" i="97"/>
  <c r="BF854" i="97"/>
  <c r="BQ854" i="97"/>
  <c r="CB854" i="97"/>
  <c r="CL854" i="97"/>
  <c r="CW854" i="97"/>
  <c r="DH854" i="97"/>
  <c r="DR854" i="97"/>
  <c r="EC854" i="97"/>
  <c r="EN854" i="97"/>
  <c r="EX854" i="97"/>
  <c r="FI854" i="97"/>
  <c r="FT854" i="97"/>
  <c r="GD854" i="97"/>
  <c r="GO854" i="97"/>
  <c r="GZ854" i="97"/>
  <c r="HJ854" i="97"/>
  <c r="HU854" i="97"/>
  <c r="IF854" i="97"/>
  <c r="IP854" i="97"/>
  <c r="JA854" i="97"/>
  <c r="JL854" i="97"/>
  <c r="JV854" i="97"/>
  <c r="KG854" i="97"/>
  <c r="KR854" i="97"/>
  <c r="LB854" i="97"/>
  <c r="LM854" i="97"/>
  <c r="LX854" i="97"/>
  <c r="MH854" i="97"/>
  <c r="MS854" i="97"/>
  <c r="AG855" i="97"/>
  <c r="AR855" i="97"/>
  <c r="BB855" i="97"/>
  <c r="BM855" i="97"/>
  <c r="BX855" i="97"/>
  <c r="CH855" i="97"/>
  <c r="CS855" i="97"/>
  <c r="DD855" i="97"/>
  <c r="DN855" i="97"/>
  <c r="DY855" i="97"/>
  <c r="EJ855" i="97"/>
  <c r="ET855" i="97"/>
  <c r="FE855" i="97"/>
  <c r="FP855" i="97"/>
  <c r="FZ855" i="97"/>
  <c r="GK855" i="97"/>
  <c r="GV855" i="97"/>
  <c r="HF855" i="97"/>
  <c r="HQ855" i="97"/>
  <c r="LI855" i="97"/>
  <c r="LT855" i="97"/>
  <c r="MD855" i="97"/>
  <c r="AD856" i="97"/>
  <c r="AO856" i="97"/>
  <c r="AZ856" i="97"/>
  <c r="BJ856" i="97"/>
  <c r="BU856" i="97"/>
  <c r="CF856" i="97"/>
  <c r="CP856" i="97"/>
  <c r="DA856" i="97"/>
  <c r="DL856" i="97"/>
  <c r="DV856" i="97"/>
  <c r="EG856" i="97"/>
  <c r="ER856" i="97"/>
  <c r="FB856" i="97"/>
  <c r="FM856" i="97"/>
  <c r="FX856" i="97"/>
  <c r="GH856" i="97"/>
  <c r="GS856" i="97"/>
  <c r="HD856" i="97"/>
  <c r="HN856" i="97"/>
  <c r="HY856" i="97"/>
  <c r="IJ856" i="97"/>
  <c r="IT856" i="97"/>
  <c r="JE856" i="97"/>
  <c r="JP856" i="97"/>
  <c r="JZ856" i="97"/>
  <c r="KK856" i="97"/>
  <c r="KV856" i="97"/>
  <c r="LF856" i="97"/>
  <c r="LQ856" i="97"/>
  <c r="MR857" i="97"/>
  <c r="MN857" i="97"/>
  <c r="MJ857" i="97"/>
  <c r="MF857" i="97"/>
  <c r="MB857" i="97"/>
  <c r="LX857" i="97"/>
  <c r="LT857" i="97"/>
  <c r="LP857" i="97"/>
  <c r="LL857" i="97"/>
  <c r="LD857" i="97"/>
  <c r="KZ857" i="97"/>
  <c r="KV857" i="97"/>
  <c r="KR857" i="97"/>
  <c r="KN857" i="97"/>
  <c r="KJ857" i="97"/>
  <c r="KF857" i="97"/>
  <c r="KB857" i="97"/>
  <c r="JX857" i="97"/>
  <c r="JT857" i="97"/>
  <c r="JP857" i="97"/>
  <c r="JL857" i="97"/>
  <c r="JH857" i="97"/>
  <c r="JD857" i="97"/>
  <c r="IZ857" i="97"/>
  <c r="IV857" i="97"/>
  <c r="IR857" i="97"/>
  <c r="IN857" i="97"/>
  <c r="IJ857" i="97"/>
  <c r="IF857" i="97"/>
  <c r="IB857" i="97"/>
  <c r="MQ857" i="97"/>
  <c r="MM857" i="97"/>
  <c r="MI857" i="97"/>
  <c r="ME857" i="97"/>
  <c r="MA857" i="97"/>
  <c r="LW857" i="97"/>
  <c r="LS857" i="97"/>
  <c r="LO857" i="97"/>
  <c r="LC857" i="97"/>
  <c r="KY857" i="97"/>
  <c r="KU857" i="97"/>
  <c r="KQ857" i="97"/>
  <c r="KM857" i="97"/>
  <c r="KI857" i="97"/>
  <c r="KE857" i="97"/>
  <c r="KA857" i="97"/>
  <c r="JW857" i="97"/>
  <c r="JS857" i="97"/>
  <c r="JO857" i="97"/>
  <c r="JK857" i="97"/>
  <c r="JG857" i="97"/>
  <c r="JC857" i="97"/>
  <c r="IY857" i="97"/>
  <c r="IU857" i="97"/>
  <c r="IQ857" i="97"/>
  <c r="IM857" i="97"/>
  <c r="II857" i="97"/>
  <c r="IE857" i="97"/>
  <c r="IA857" i="97"/>
  <c r="HW857" i="97"/>
  <c r="HS857" i="97"/>
  <c r="HO857" i="97"/>
  <c r="HK857" i="97"/>
  <c r="HG857" i="97"/>
  <c r="HC857" i="97"/>
  <c r="GY857" i="97"/>
  <c r="GU857" i="97"/>
  <c r="GQ857" i="97"/>
  <c r="GM857" i="97"/>
  <c r="GI857" i="97"/>
  <c r="GE857" i="97"/>
  <c r="GA857" i="97"/>
  <c r="FW857" i="97"/>
  <c r="FS857" i="97"/>
  <c r="FO857" i="97"/>
  <c r="FK857" i="97"/>
  <c r="FG857" i="97"/>
  <c r="FC857" i="97"/>
  <c r="EY857" i="97"/>
  <c r="EU857" i="97"/>
  <c r="EQ857" i="97"/>
  <c r="EM857" i="97"/>
  <c r="EI857" i="97"/>
  <c r="EE857" i="97"/>
  <c r="EA857" i="97"/>
  <c r="DW857" i="97"/>
  <c r="DS857" i="97"/>
  <c r="DO857" i="97"/>
  <c r="DK857" i="97"/>
  <c r="DG857" i="97"/>
  <c r="DC857" i="97"/>
  <c r="CY857" i="97"/>
  <c r="CU857" i="97"/>
  <c r="CQ857" i="97"/>
  <c r="CM857" i="97"/>
  <c r="CI857" i="97"/>
  <c r="CE857" i="97"/>
  <c r="CA857" i="97"/>
  <c r="BW857" i="97"/>
  <c r="BS857" i="97"/>
  <c r="BO857" i="97"/>
  <c r="BK857" i="97"/>
  <c r="BG857" i="97"/>
  <c r="BC857" i="97"/>
  <c r="AY857" i="97"/>
  <c r="AU857" i="97"/>
  <c r="AQ857" i="97"/>
  <c r="AM857" i="97"/>
  <c r="AI857" i="97"/>
  <c r="AE857" i="97"/>
  <c r="AA857" i="97"/>
  <c r="MT857" i="97"/>
  <c r="ML857" i="97"/>
  <c r="MD857" i="97"/>
  <c r="LV857" i="97"/>
  <c r="LN857" i="97"/>
  <c r="LF857" i="97"/>
  <c r="KX857" i="97"/>
  <c r="KP857" i="97"/>
  <c r="KH857" i="97"/>
  <c r="JZ857" i="97"/>
  <c r="JR857" i="97"/>
  <c r="JJ857" i="97"/>
  <c r="JB857" i="97"/>
  <c r="IT857" i="97"/>
  <c r="IL857" i="97"/>
  <c r="ID857" i="97"/>
  <c r="HX857" i="97"/>
  <c r="HR857" i="97"/>
  <c r="HM857" i="97"/>
  <c r="HH857" i="97"/>
  <c r="HB857" i="97"/>
  <c r="GW857" i="97"/>
  <c r="GR857" i="97"/>
  <c r="GL857" i="97"/>
  <c r="GG857" i="97"/>
  <c r="GB857" i="97"/>
  <c r="FV857" i="97"/>
  <c r="FQ857" i="97"/>
  <c r="FL857" i="97"/>
  <c r="FF857" i="97"/>
  <c r="FA857" i="97"/>
  <c r="EV857" i="97"/>
  <c r="EP857" i="97"/>
  <c r="EK857" i="97"/>
  <c r="EF857" i="97"/>
  <c r="DZ857" i="97"/>
  <c r="DU857" i="97"/>
  <c r="DP857" i="97"/>
  <c r="DJ857" i="97"/>
  <c r="DE857" i="97"/>
  <c r="CZ857" i="97"/>
  <c r="CT857" i="97"/>
  <c r="CO857" i="97"/>
  <c r="CJ857" i="97"/>
  <c r="CD857" i="97"/>
  <c r="BY857" i="97"/>
  <c r="BT857" i="97"/>
  <c r="BN857" i="97"/>
  <c r="BI857" i="97"/>
  <c r="BD857" i="97"/>
  <c r="AX857" i="97"/>
  <c r="AS857" i="97"/>
  <c r="AN857" i="97"/>
  <c r="AH857" i="97"/>
  <c r="AC857" i="97"/>
  <c r="X857" i="97"/>
  <c r="MS857" i="97"/>
  <c r="MK857" i="97"/>
  <c r="MC857" i="97"/>
  <c r="LU857" i="97"/>
  <c r="LM857" i="97"/>
  <c r="LE857" i="97"/>
  <c r="KW857" i="97"/>
  <c r="KO857" i="97"/>
  <c r="KG857" i="97"/>
  <c r="JY857" i="97"/>
  <c r="JQ857" i="97"/>
  <c r="JI857" i="97"/>
  <c r="JA857" i="97"/>
  <c r="IS857" i="97"/>
  <c r="IK857" i="97"/>
  <c r="IC857" i="97"/>
  <c r="HV857" i="97"/>
  <c r="HQ857" i="97"/>
  <c r="HL857" i="97"/>
  <c r="HF857" i="97"/>
  <c r="HA857" i="97"/>
  <c r="GV857" i="97"/>
  <c r="GP857" i="97"/>
  <c r="GK857" i="97"/>
  <c r="GF857" i="97"/>
  <c r="FZ857" i="97"/>
  <c r="FU857" i="97"/>
  <c r="FP857" i="97"/>
  <c r="FJ857" i="97"/>
  <c r="FE857" i="97"/>
  <c r="EZ857" i="97"/>
  <c r="ET857" i="97"/>
  <c r="EO857" i="97"/>
  <c r="EJ857" i="97"/>
  <c r="ED857" i="97"/>
  <c r="DY857" i="97"/>
  <c r="DT857" i="97"/>
  <c r="DN857" i="97"/>
  <c r="DI857" i="97"/>
  <c r="DD857" i="97"/>
  <c r="CX857" i="97"/>
  <c r="CS857" i="97"/>
  <c r="CN857" i="97"/>
  <c r="CH857" i="97"/>
  <c r="CC857" i="97"/>
  <c r="BX857" i="97"/>
  <c r="BR857" i="97"/>
  <c r="BM857" i="97"/>
  <c r="BH857" i="97"/>
  <c r="BB857" i="97"/>
  <c r="AW857" i="97"/>
  <c r="AR857" i="97"/>
  <c r="AL857" i="97"/>
  <c r="AG857" i="97"/>
  <c r="AB857" i="97"/>
  <c r="AF857" i="97"/>
  <c r="AP857" i="97"/>
  <c r="BA857" i="97"/>
  <c r="BL857" i="97"/>
  <c r="BV857" i="97"/>
  <c r="CG857" i="97"/>
  <c r="CR857" i="97"/>
  <c r="DB857" i="97"/>
  <c r="DM857" i="97"/>
  <c r="DX857" i="97"/>
  <c r="EH857" i="97"/>
  <c r="ES857" i="97"/>
  <c r="FD857" i="97"/>
  <c r="FN857" i="97"/>
  <c r="FY857" i="97"/>
  <c r="GJ857" i="97"/>
  <c r="GT857" i="97"/>
  <c r="HE857" i="97"/>
  <c r="HP857" i="97"/>
  <c r="HZ857" i="97"/>
  <c r="IP857" i="97"/>
  <c r="JF857" i="97"/>
  <c r="JV857" i="97"/>
  <c r="KL857" i="97"/>
  <c r="LB857" i="97"/>
  <c r="LR857" i="97"/>
  <c r="MH857" i="97"/>
  <c r="MR858" i="97"/>
  <c r="MN858" i="97"/>
  <c r="MJ858" i="97"/>
  <c r="MF858" i="97"/>
  <c r="MB858" i="97"/>
  <c r="LX858" i="97"/>
  <c r="LT858" i="97"/>
  <c r="LP858" i="97"/>
  <c r="LL858" i="97"/>
  <c r="LD858" i="97"/>
  <c r="KZ858" i="97"/>
  <c r="KV858" i="97"/>
  <c r="KR858" i="97"/>
  <c r="KN858" i="97"/>
  <c r="KJ858" i="97"/>
  <c r="KF858" i="97"/>
  <c r="KB858" i="97"/>
  <c r="JX858" i="97"/>
  <c r="JT858" i="97"/>
  <c r="JP858" i="97"/>
  <c r="JL858" i="97"/>
  <c r="JH858" i="97"/>
  <c r="JD858" i="97"/>
  <c r="IZ858" i="97"/>
  <c r="IV858" i="97"/>
  <c r="IR858" i="97"/>
  <c r="IN858" i="97"/>
  <c r="IJ858" i="97"/>
  <c r="IF858" i="97"/>
  <c r="IB858" i="97"/>
  <c r="HX858" i="97"/>
  <c r="HT858" i="97"/>
  <c r="HP858" i="97"/>
  <c r="HL858" i="97"/>
  <c r="HH858" i="97"/>
  <c r="HD858" i="97"/>
  <c r="GZ858" i="97"/>
  <c r="GV858" i="97"/>
  <c r="GR858" i="97"/>
  <c r="GN858" i="97"/>
  <c r="GJ858" i="97"/>
  <c r="GF858" i="97"/>
  <c r="GB858" i="97"/>
  <c r="FX858" i="97"/>
  <c r="FT858" i="97"/>
  <c r="FP858" i="97"/>
  <c r="FL858" i="97"/>
  <c r="FH858" i="97"/>
  <c r="FD858" i="97"/>
  <c r="EZ858" i="97"/>
  <c r="EV858" i="97"/>
  <c r="ER858" i="97"/>
  <c r="EN858" i="97"/>
  <c r="EJ858" i="97"/>
  <c r="EF858" i="97"/>
  <c r="EB858" i="97"/>
  <c r="DX858" i="97"/>
  <c r="DT858" i="97"/>
  <c r="DP858" i="97"/>
  <c r="DL858" i="97"/>
  <c r="DH858" i="97"/>
  <c r="DD858" i="97"/>
  <c r="CZ858" i="97"/>
  <c r="CV858" i="97"/>
  <c r="CR858" i="97"/>
  <c r="CN858" i="97"/>
  <c r="CJ858" i="97"/>
  <c r="CF858" i="97"/>
  <c r="CB858" i="97"/>
  <c r="BX858" i="97"/>
  <c r="BT858" i="97"/>
  <c r="BP858" i="97"/>
  <c r="BL858" i="97"/>
  <c r="BH858" i="97"/>
  <c r="BD858" i="97"/>
  <c r="AZ858" i="97"/>
  <c r="AV858" i="97"/>
  <c r="AR858" i="97"/>
  <c r="AN858" i="97"/>
  <c r="AJ858" i="97"/>
  <c r="AF858" i="97"/>
  <c r="AB858" i="97"/>
  <c r="X858" i="97"/>
  <c r="MQ858" i="97"/>
  <c r="MM858" i="97"/>
  <c r="MI858" i="97"/>
  <c r="ME858" i="97"/>
  <c r="MA858" i="97"/>
  <c r="LW858" i="97"/>
  <c r="LS858" i="97"/>
  <c r="LO858" i="97"/>
  <c r="LC858" i="97"/>
  <c r="KY858" i="97"/>
  <c r="KU858" i="97"/>
  <c r="KQ858" i="97"/>
  <c r="KM858" i="97"/>
  <c r="KI858" i="97"/>
  <c r="KE858" i="97"/>
  <c r="KA858" i="97"/>
  <c r="JW858" i="97"/>
  <c r="JS858" i="97"/>
  <c r="JO858" i="97"/>
  <c r="JK858" i="97"/>
  <c r="JG858" i="97"/>
  <c r="JC858" i="97"/>
  <c r="IY858" i="97"/>
  <c r="IU858" i="97"/>
  <c r="IQ858" i="97"/>
  <c r="IM858" i="97"/>
  <c r="II858" i="97"/>
  <c r="IE858" i="97"/>
  <c r="IA858" i="97"/>
  <c r="HW858" i="97"/>
  <c r="HS858" i="97"/>
  <c r="HO858" i="97"/>
  <c r="HK858" i="97"/>
  <c r="HG858" i="97"/>
  <c r="HC858" i="97"/>
  <c r="GY858" i="97"/>
  <c r="GU858" i="97"/>
  <c r="GQ858" i="97"/>
  <c r="GM858" i="97"/>
  <c r="GI858" i="97"/>
  <c r="GE858" i="97"/>
  <c r="GA858" i="97"/>
  <c r="FW858" i="97"/>
  <c r="FS858" i="97"/>
  <c r="FO858" i="97"/>
  <c r="FK858" i="97"/>
  <c r="FG858" i="97"/>
  <c r="FC858" i="97"/>
  <c r="EY858" i="97"/>
  <c r="EU858" i="97"/>
  <c r="EQ858" i="97"/>
  <c r="EM858" i="97"/>
  <c r="EI858" i="97"/>
  <c r="EE858" i="97"/>
  <c r="EA858" i="97"/>
  <c r="DW858" i="97"/>
  <c r="DS858" i="97"/>
  <c r="DO858" i="97"/>
  <c r="DK858" i="97"/>
  <c r="DG858" i="97"/>
  <c r="DC858" i="97"/>
  <c r="CY858" i="97"/>
  <c r="CU858" i="97"/>
  <c r="CQ858" i="97"/>
  <c r="CM858" i="97"/>
  <c r="CI858" i="97"/>
  <c r="CE858" i="97"/>
  <c r="CA858" i="97"/>
  <c r="BW858" i="97"/>
  <c r="BS858" i="97"/>
  <c r="BO858" i="97"/>
  <c r="BK858" i="97"/>
  <c r="BG858" i="97"/>
  <c r="BC858" i="97"/>
  <c r="AY858" i="97"/>
  <c r="AU858" i="97"/>
  <c r="AQ858" i="97"/>
  <c r="AM858" i="97"/>
  <c r="AI858" i="97"/>
  <c r="AE858" i="97"/>
  <c r="AA858" i="97"/>
  <c r="MP858" i="97"/>
  <c r="MH858" i="97"/>
  <c r="LZ858" i="97"/>
  <c r="LR858" i="97"/>
  <c r="LJ858" i="97"/>
  <c r="LB858" i="97"/>
  <c r="KT858" i="97"/>
  <c r="KL858" i="97"/>
  <c r="KD858" i="97"/>
  <c r="JV858" i="97"/>
  <c r="JN858" i="97"/>
  <c r="JF858" i="97"/>
  <c r="IX858" i="97"/>
  <c r="IP858" i="97"/>
  <c r="IH858" i="97"/>
  <c r="HZ858" i="97"/>
  <c r="HR858" i="97"/>
  <c r="HJ858" i="97"/>
  <c r="HB858" i="97"/>
  <c r="GT858" i="97"/>
  <c r="GL858" i="97"/>
  <c r="GD858" i="97"/>
  <c r="FV858" i="97"/>
  <c r="FN858" i="97"/>
  <c r="FF858" i="97"/>
  <c r="EX858" i="97"/>
  <c r="EP858" i="97"/>
  <c r="EH858" i="97"/>
  <c r="DZ858" i="97"/>
  <c r="DR858" i="97"/>
  <c r="DJ858" i="97"/>
  <c r="DB858" i="97"/>
  <c r="CT858" i="97"/>
  <c r="CL858" i="97"/>
  <c r="CD858" i="97"/>
  <c r="BV858" i="97"/>
  <c r="BN858" i="97"/>
  <c r="BF858" i="97"/>
  <c r="AX858" i="97"/>
  <c r="AP858" i="97"/>
  <c r="AH858" i="97"/>
  <c r="Z858" i="97"/>
  <c r="MO858" i="97"/>
  <c r="MG858" i="97"/>
  <c r="LY858" i="97"/>
  <c r="LQ858" i="97"/>
  <c r="LI858" i="97"/>
  <c r="LA858" i="97"/>
  <c r="KS858" i="97"/>
  <c r="KK858" i="97"/>
  <c r="KC858" i="97"/>
  <c r="JU858" i="97"/>
  <c r="JM858" i="97"/>
  <c r="JE858" i="97"/>
  <c r="IW858" i="97"/>
  <c r="IO858" i="97"/>
  <c r="IG858" i="97"/>
  <c r="HY858" i="97"/>
  <c r="HQ858" i="97"/>
  <c r="HI858" i="97"/>
  <c r="HA858" i="97"/>
  <c r="GS858" i="97"/>
  <c r="GK858" i="97"/>
  <c r="GC858" i="97"/>
  <c r="FU858" i="97"/>
  <c r="FM858" i="97"/>
  <c r="FE858" i="97"/>
  <c r="EW858" i="97"/>
  <c r="EO858" i="97"/>
  <c r="EG858" i="97"/>
  <c r="DY858" i="97"/>
  <c r="DQ858" i="97"/>
  <c r="DI858" i="97"/>
  <c r="DA858" i="97"/>
  <c r="CS858" i="97"/>
  <c r="CK858" i="97"/>
  <c r="CC858" i="97"/>
  <c r="BU858" i="97"/>
  <c r="BM858" i="97"/>
  <c r="BE858" i="97"/>
  <c r="AW858" i="97"/>
  <c r="AO858" i="97"/>
  <c r="AG858" i="97"/>
  <c r="Y858" i="97"/>
  <c r="AL858" i="97"/>
  <c r="BB858" i="97"/>
  <c r="BR858" i="97"/>
  <c r="CH858" i="97"/>
  <c r="CX858" i="97"/>
  <c r="DN858" i="97"/>
  <c r="ED858" i="97"/>
  <c r="ET858" i="97"/>
  <c r="FJ858" i="97"/>
  <c r="FZ858" i="97"/>
  <c r="GP858" i="97"/>
  <c r="HF858" i="97"/>
  <c r="HV858" i="97"/>
  <c r="IL858" i="97"/>
  <c r="JB858" i="97"/>
  <c r="JR858" i="97"/>
  <c r="KH858" i="97"/>
  <c r="KX858" i="97"/>
  <c r="LN858" i="97"/>
  <c r="MD858" i="97"/>
  <c r="MT858" i="97"/>
  <c r="AK860" i="97"/>
  <c r="BQ860" i="97"/>
  <c r="CW860" i="97"/>
  <c r="EC860" i="97"/>
  <c r="FI860" i="97"/>
  <c r="GO860" i="97"/>
  <c r="HU860" i="97"/>
  <c r="JA860" i="97"/>
  <c r="KG860" i="97"/>
  <c r="LM860" i="97"/>
  <c r="MS860" i="97"/>
  <c r="CG862" i="97"/>
  <c r="DM862" i="97"/>
  <c r="GA864" i="97"/>
  <c r="DZ864" i="97"/>
  <c r="DU864" i="97"/>
  <c r="DO864" i="97"/>
  <c r="DJ864" i="97"/>
  <c r="DE864" i="97"/>
  <c r="CY864" i="97"/>
  <c r="CT864" i="97"/>
  <c r="CO864" i="97"/>
  <c r="CI864" i="97"/>
  <c r="CD864" i="97"/>
  <c r="BY864" i="97"/>
  <c r="BS864" i="97"/>
  <c r="BN864" i="97"/>
  <c r="FY864" i="97"/>
  <c r="DW864" i="97"/>
  <c r="DM864" i="97"/>
  <c r="DB864" i="97"/>
  <c r="CQ864" i="97"/>
  <c r="CG864" i="97"/>
  <c r="BV864" i="97"/>
  <c r="FW864" i="97"/>
  <c r="DV864" i="97"/>
  <c r="DK864" i="97"/>
  <c r="DA864" i="97"/>
  <c r="CP864" i="97"/>
  <c r="CE864" i="97"/>
  <c r="BU864" i="97"/>
  <c r="EC864" i="97"/>
  <c r="DR864" i="97"/>
  <c r="DG864" i="97"/>
  <c r="CW864" i="97"/>
  <c r="CL864" i="97"/>
  <c r="CA864" i="97"/>
  <c r="BQ864" i="97"/>
  <c r="BZ864" i="97"/>
  <c r="DQ864" i="97"/>
  <c r="CG865" i="97"/>
  <c r="HE865" i="97"/>
  <c r="JX868" i="97"/>
  <c r="HZ861" i="97"/>
  <c r="IH861" i="97"/>
  <c r="IP861" i="97"/>
  <c r="IX861" i="97"/>
  <c r="JF861" i="97"/>
  <c r="JN861" i="97"/>
  <c r="JV861" i="97"/>
  <c r="KD861" i="97"/>
  <c r="KL861" i="97"/>
  <c r="KT861" i="97"/>
  <c r="LB861" i="97"/>
  <c r="MH861" i="97"/>
  <c r="MP861" i="97"/>
  <c r="MR862" i="97"/>
  <c r="MN862" i="97"/>
  <c r="MJ862" i="97"/>
  <c r="MF862" i="97"/>
  <c r="MB862" i="97"/>
  <c r="LX862" i="97"/>
  <c r="LT862" i="97"/>
  <c r="LP862" i="97"/>
  <c r="LL862" i="97"/>
  <c r="LD862" i="97"/>
  <c r="KZ862" i="97"/>
  <c r="KV862" i="97"/>
  <c r="KR862" i="97"/>
  <c r="KN862" i="97"/>
  <c r="KJ862" i="97"/>
  <c r="KF862" i="97"/>
  <c r="KB862" i="97"/>
  <c r="JX862" i="97"/>
  <c r="JT862" i="97"/>
  <c r="JP862" i="97"/>
  <c r="JL862" i="97"/>
  <c r="JH862" i="97"/>
  <c r="JD862" i="97"/>
  <c r="IZ862" i="97"/>
  <c r="IV862" i="97"/>
  <c r="IR862" i="97"/>
  <c r="IN862" i="97"/>
  <c r="IJ862" i="97"/>
  <c r="IF862" i="97"/>
  <c r="IB862" i="97"/>
  <c r="HX862" i="97"/>
  <c r="HT862" i="97"/>
  <c r="HP862" i="97"/>
  <c r="HL862" i="97"/>
  <c r="HH862" i="97"/>
  <c r="HD862" i="97"/>
  <c r="GZ862" i="97"/>
  <c r="GV862" i="97"/>
  <c r="GR862" i="97"/>
  <c r="GN862" i="97"/>
  <c r="GJ862" i="97"/>
  <c r="GF862" i="97"/>
  <c r="GB862" i="97"/>
  <c r="FX862" i="97"/>
  <c r="MS862" i="97"/>
  <c r="MM862" i="97"/>
  <c r="MH862" i="97"/>
  <c r="MC862" i="97"/>
  <c r="LW862" i="97"/>
  <c r="LR862" i="97"/>
  <c r="LM862" i="97"/>
  <c r="LB862" i="97"/>
  <c r="KW862" i="97"/>
  <c r="KQ862" i="97"/>
  <c r="KL862" i="97"/>
  <c r="KG862" i="97"/>
  <c r="KA862" i="97"/>
  <c r="JV862" i="97"/>
  <c r="JQ862" i="97"/>
  <c r="JK862" i="97"/>
  <c r="JF862" i="97"/>
  <c r="JA862" i="97"/>
  <c r="IU862" i="97"/>
  <c r="IP862" i="97"/>
  <c r="IK862" i="97"/>
  <c r="IE862" i="97"/>
  <c r="HZ862" i="97"/>
  <c r="HU862" i="97"/>
  <c r="HO862" i="97"/>
  <c r="HJ862" i="97"/>
  <c r="HE862" i="97"/>
  <c r="GY862" i="97"/>
  <c r="GT862" i="97"/>
  <c r="GO862" i="97"/>
  <c r="GI862" i="97"/>
  <c r="GD862" i="97"/>
  <c r="FY862" i="97"/>
  <c r="FT862" i="97"/>
  <c r="FP862" i="97"/>
  <c r="FL862" i="97"/>
  <c r="FH862" i="97"/>
  <c r="FD862" i="97"/>
  <c r="EZ862" i="97"/>
  <c r="EV862" i="97"/>
  <c r="ER862" i="97"/>
  <c r="EN862" i="97"/>
  <c r="EJ862" i="97"/>
  <c r="EF862" i="97"/>
  <c r="EB862" i="97"/>
  <c r="DX862" i="97"/>
  <c r="DT862" i="97"/>
  <c r="DP862" i="97"/>
  <c r="DL862" i="97"/>
  <c r="DH862" i="97"/>
  <c r="DD862" i="97"/>
  <c r="CZ862" i="97"/>
  <c r="CV862" i="97"/>
  <c r="CR862" i="97"/>
  <c r="CN862" i="97"/>
  <c r="CJ862" i="97"/>
  <c r="CF862" i="97"/>
  <c r="CB862" i="97"/>
  <c r="BX862" i="97"/>
  <c r="BT862" i="97"/>
  <c r="BP862" i="97"/>
  <c r="BL862" i="97"/>
  <c r="BH862" i="97"/>
  <c r="BD862" i="97"/>
  <c r="AZ862" i="97"/>
  <c r="AV862" i="97"/>
  <c r="AR862" i="97"/>
  <c r="AN862" i="97"/>
  <c r="AJ862" i="97"/>
  <c r="AF862" i="97"/>
  <c r="AB862" i="97"/>
  <c r="X862" i="97"/>
  <c r="MQ862" i="97"/>
  <c r="ML862" i="97"/>
  <c r="MG862" i="97"/>
  <c r="MA862" i="97"/>
  <c r="LV862" i="97"/>
  <c r="LQ862" i="97"/>
  <c r="LF862" i="97"/>
  <c r="LA862" i="97"/>
  <c r="KU862" i="97"/>
  <c r="KP862" i="97"/>
  <c r="KK862" i="97"/>
  <c r="KE862" i="97"/>
  <c r="JZ862" i="97"/>
  <c r="JU862" i="97"/>
  <c r="JO862" i="97"/>
  <c r="JJ862" i="97"/>
  <c r="JE862" i="97"/>
  <c r="IY862" i="97"/>
  <c r="IT862" i="97"/>
  <c r="IO862" i="97"/>
  <c r="II862" i="97"/>
  <c r="ID862" i="97"/>
  <c r="HY862" i="97"/>
  <c r="HS862" i="97"/>
  <c r="HN862" i="97"/>
  <c r="HI862" i="97"/>
  <c r="HC862" i="97"/>
  <c r="GX862" i="97"/>
  <c r="GS862" i="97"/>
  <c r="GM862" i="97"/>
  <c r="GH862" i="97"/>
  <c r="GC862" i="97"/>
  <c r="FW862" i="97"/>
  <c r="FS862" i="97"/>
  <c r="FO862" i="97"/>
  <c r="FK862" i="97"/>
  <c r="FG862" i="97"/>
  <c r="FC862" i="97"/>
  <c r="EY862" i="97"/>
  <c r="EU862" i="97"/>
  <c r="EQ862" i="97"/>
  <c r="EM862" i="97"/>
  <c r="EI862" i="97"/>
  <c r="EE862" i="97"/>
  <c r="EA862" i="97"/>
  <c r="DW862" i="97"/>
  <c r="DS862" i="97"/>
  <c r="DO862" i="97"/>
  <c r="DK862" i="97"/>
  <c r="DG862" i="97"/>
  <c r="DC862" i="97"/>
  <c r="CY862" i="97"/>
  <c r="CU862" i="97"/>
  <c r="CQ862" i="97"/>
  <c r="CM862" i="97"/>
  <c r="CI862" i="97"/>
  <c r="CE862" i="97"/>
  <c r="CA862" i="97"/>
  <c r="BW862" i="97"/>
  <c r="BS862" i="97"/>
  <c r="BO862" i="97"/>
  <c r="BK862" i="97"/>
  <c r="BG862" i="97"/>
  <c r="BC862" i="97"/>
  <c r="AY862" i="97"/>
  <c r="AU862" i="97"/>
  <c r="AQ862" i="97"/>
  <c r="AM862" i="97"/>
  <c r="AI862" i="97"/>
  <c r="AE862" i="97"/>
  <c r="AA862" i="97"/>
  <c r="AD862" i="97"/>
  <c r="AL862" i="97"/>
  <c r="AT862" i="97"/>
  <c r="BB862" i="97"/>
  <c r="BJ862" i="97"/>
  <c r="BR862" i="97"/>
  <c r="BZ862" i="97"/>
  <c r="CH862" i="97"/>
  <c r="CP862" i="97"/>
  <c r="CX862" i="97"/>
  <c r="DF862" i="97"/>
  <c r="DN862" i="97"/>
  <c r="DV862" i="97"/>
  <c r="ED862" i="97"/>
  <c r="EL862" i="97"/>
  <c r="ET862" i="97"/>
  <c r="FB862" i="97"/>
  <c r="FJ862" i="97"/>
  <c r="FR862" i="97"/>
  <c r="GA862" i="97"/>
  <c r="GL862" i="97"/>
  <c r="GW862" i="97"/>
  <c r="HG862" i="97"/>
  <c r="HR862" i="97"/>
  <c r="IC862" i="97"/>
  <c r="IM862" i="97"/>
  <c r="IX862" i="97"/>
  <c r="JI862" i="97"/>
  <c r="JS862" i="97"/>
  <c r="KD862" i="97"/>
  <c r="KO862" i="97"/>
  <c r="KY862" i="97"/>
  <c r="LJ862" i="97"/>
  <c r="LU862" i="97"/>
  <c r="ME862" i="97"/>
  <c r="MP862" i="97"/>
  <c r="IM863" i="97"/>
  <c r="IX863" i="97"/>
  <c r="JI863" i="97"/>
  <c r="JS863" i="97"/>
  <c r="KD863" i="97"/>
  <c r="KO863" i="97"/>
  <c r="KY863" i="97"/>
  <c r="MP863" i="97"/>
  <c r="MR865" i="97"/>
  <c r="MN865" i="97"/>
  <c r="MJ865" i="97"/>
  <c r="MF865" i="97"/>
  <c r="MB865" i="97"/>
  <c r="LX865" i="97"/>
  <c r="LT865" i="97"/>
  <c r="LP865" i="97"/>
  <c r="LL865" i="97"/>
  <c r="LD865" i="97"/>
  <c r="KZ865" i="97"/>
  <c r="KV865" i="97"/>
  <c r="KR865" i="97"/>
  <c r="KN865" i="97"/>
  <c r="KJ865" i="97"/>
  <c r="KF865" i="97"/>
  <c r="KB865" i="97"/>
  <c r="JX865" i="97"/>
  <c r="JT865" i="97"/>
  <c r="JP865" i="97"/>
  <c r="JL865" i="97"/>
  <c r="JH865" i="97"/>
  <c r="JD865" i="97"/>
  <c r="IZ865" i="97"/>
  <c r="IV865" i="97"/>
  <c r="IR865" i="97"/>
  <c r="IN865" i="97"/>
  <c r="IJ865" i="97"/>
  <c r="IF865" i="97"/>
  <c r="IB865" i="97"/>
  <c r="HX865" i="97"/>
  <c r="HT865" i="97"/>
  <c r="HP865" i="97"/>
  <c r="HL865" i="97"/>
  <c r="HH865" i="97"/>
  <c r="HD865" i="97"/>
  <c r="GZ865" i="97"/>
  <c r="GV865" i="97"/>
  <c r="GR865" i="97"/>
  <c r="GN865" i="97"/>
  <c r="GJ865" i="97"/>
  <c r="GF865" i="97"/>
  <c r="GB865" i="97"/>
  <c r="FX865" i="97"/>
  <c r="FT865" i="97"/>
  <c r="FP865" i="97"/>
  <c r="FL865" i="97"/>
  <c r="FH865" i="97"/>
  <c r="FD865" i="97"/>
  <c r="EZ865" i="97"/>
  <c r="EV865" i="97"/>
  <c r="ER865" i="97"/>
  <c r="EN865" i="97"/>
  <c r="EJ865" i="97"/>
  <c r="EF865" i="97"/>
  <c r="EB865" i="97"/>
  <c r="DX865" i="97"/>
  <c r="DT865" i="97"/>
  <c r="DP865" i="97"/>
  <c r="DL865" i="97"/>
  <c r="DH865" i="97"/>
  <c r="DD865" i="97"/>
  <c r="CZ865" i="97"/>
  <c r="CV865" i="97"/>
  <c r="CR865" i="97"/>
  <c r="CN865" i="97"/>
  <c r="CJ865" i="97"/>
  <c r="CF865" i="97"/>
  <c r="CB865" i="97"/>
  <c r="BX865" i="97"/>
  <c r="BT865" i="97"/>
  <c r="BP865" i="97"/>
  <c r="BL865" i="97"/>
  <c r="BH865" i="97"/>
  <c r="BD865" i="97"/>
  <c r="AZ865" i="97"/>
  <c r="AV865" i="97"/>
  <c r="AR865" i="97"/>
  <c r="AN865" i="97"/>
  <c r="AJ865" i="97"/>
  <c r="AF865" i="97"/>
  <c r="AB865" i="97"/>
  <c r="X865" i="97"/>
  <c r="MQ865" i="97"/>
  <c r="ML865" i="97"/>
  <c r="MG865" i="97"/>
  <c r="MA865" i="97"/>
  <c r="LV865" i="97"/>
  <c r="LQ865" i="97"/>
  <c r="LK865" i="97"/>
  <c r="LF865" i="97"/>
  <c r="LA865" i="97"/>
  <c r="KU865" i="97"/>
  <c r="KP865" i="97"/>
  <c r="KK865" i="97"/>
  <c r="KE865" i="97"/>
  <c r="JZ865" i="97"/>
  <c r="JU865" i="97"/>
  <c r="JO865" i="97"/>
  <c r="JJ865" i="97"/>
  <c r="JE865" i="97"/>
  <c r="IY865" i="97"/>
  <c r="IT865" i="97"/>
  <c r="IO865" i="97"/>
  <c r="II865" i="97"/>
  <c r="ID865" i="97"/>
  <c r="HY865" i="97"/>
  <c r="HS865" i="97"/>
  <c r="HN865" i="97"/>
  <c r="HI865" i="97"/>
  <c r="HC865" i="97"/>
  <c r="GX865" i="97"/>
  <c r="GS865" i="97"/>
  <c r="GM865" i="97"/>
  <c r="GH865" i="97"/>
  <c r="GC865" i="97"/>
  <c r="FW865" i="97"/>
  <c r="FR865" i="97"/>
  <c r="FM865" i="97"/>
  <c r="FG865" i="97"/>
  <c r="FB865" i="97"/>
  <c r="EW865" i="97"/>
  <c r="EQ865" i="97"/>
  <c r="EL865" i="97"/>
  <c r="EG865" i="97"/>
  <c r="EA865" i="97"/>
  <c r="DV865" i="97"/>
  <c r="DQ865" i="97"/>
  <c r="DK865" i="97"/>
  <c r="DF865" i="97"/>
  <c r="DA865" i="97"/>
  <c r="CU865" i="97"/>
  <c r="CP865" i="97"/>
  <c r="CK865" i="97"/>
  <c r="CE865" i="97"/>
  <c r="BZ865" i="97"/>
  <c r="BU865" i="97"/>
  <c r="BO865" i="97"/>
  <c r="BJ865" i="97"/>
  <c r="BE865" i="97"/>
  <c r="AY865" i="97"/>
  <c r="AT865" i="97"/>
  <c r="AO865" i="97"/>
  <c r="AI865" i="97"/>
  <c r="AD865" i="97"/>
  <c r="Y865" i="97"/>
  <c r="A865" i="97"/>
  <c r="MP865" i="97"/>
  <c r="MK865" i="97"/>
  <c r="ME865" i="97"/>
  <c r="LZ865" i="97"/>
  <c r="LU865" i="97"/>
  <c r="LO865" i="97"/>
  <c r="LJ865" i="97"/>
  <c r="LE865" i="97"/>
  <c r="KY865" i="97"/>
  <c r="KT865" i="97"/>
  <c r="KO865" i="97"/>
  <c r="KI865" i="97"/>
  <c r="KD865" i="97"/>
  <c r="JY865" i="97"/>
  <c r="JS865" i="97"/>
  <c r="JN865" i="97"/>
  <c r="JI865" i="97"/>
  <c r="JC865" i="97"/>
  <c r="IX865" i="97"/>
  <c r="IS865" i="97"/>
  <c r="IM865" i="97"/>
  <c r="IH865" i="97"/>
  <c r="IC865" i="97"/>
  <c r="HW865" i="97"/>
  <c r="HR865" i="97"/>
  <c r="HM865" i="97"/>
  <c r="HG865" i="97"/>
  <c r="HB865" i="97"/>
  <c r="GW865" i="97"/>
  <c r="GQ865" i="97"/>
  <c r="GL865" i="97"/>
  <c r="GG865" i="97"/>
  <c r="GA865" i="97"/>
  <c r="FV865" i="97"/>
  <c r="FQ865" i="97"/>
  <c r="FK865" i="97"/>
  <c r="FF865" i="97"/>
  <c r="FA865" i="97"/>
  <c r="EU865" i="97"/>
  <c r="EP865" i="97"/>
  <c r="EK865" i="97"/>
  <c r="EE865" i="97"/>
  <c r="DZ865" i="97"/>
  <c r="DU865" i="97"/>
  <c r="DO865" i="97"/>
  <c r="DJ865" i="97"/>
  <c r="DE865" i="97"/>
  <c r="CY865" i="97"/>
  <c r="CT865" i="97"/>
  <c r="CO865" i="97"/>
  <c r="CI865" i="97"/>
  <c r="CD865" i="97"/>
  <c r="BY865" i="97"/>
  <c r="BS865" i="97"/>
  <c r="BN865" i="97"/>
  <c r="BI865" i="97"/>
  <c r="BC865" i="97"/>
  <c r="AX865" i="97"/>
  <c r="AS865" i="97"/>
  <c r="AM865" i="97"/>
  <c r="AH865" i="97"/>
  <c r="AC865" i="97"/>
  <c r="AG865" i="97"/>
  <c r="AQ865" i="97"/>
  <c r="BB865" i="97"/>
  <c r="BM865" i="97"/>
  <c r="BW865" i="97"/>
  <c r="CH865" i="97"/>
  <c r="CS865" i="97"/>
  <c r="DC865" i="97"/>
  <c r="DN865" i="97"/>
  <c r="DY865" i="97"/>
  <c r="EI865" i="97"/>
  <c r="ET865" i="97"/>
  <c r="FE865" i="97"/>
  <c r="FO865" i="97"/>
  <c r="FZ865" i="97"/>
  <c r="GK865" i="97"/>
  <c r="GU865" i="97"/>
  <c r="HF865" i="97"/>
  <c r="HQ865" i="97"/>
  <c r="IA865" i="97"/>
  <c r="IL865" i="97"/>
  <c r="IW865" i="97"/>
  <c r="JG865" i="97"/>
  <c r="JR865" i="97"/>
  <c r="KC865" i="97"/>
  <c r="KM865" i="97"/>
  <c r="KX865" i="97"/>
  <c r="LI865" i="97"/>
  <c r="LS865" i="97"/>
  <c r="MD865" i="97"/>
  <c r="MO865" i="97"/>
  <c r="MR866" i="97"/>
  <c r="MN866" i="97"/>
  <c r="MJ866" i="97"/>
  <c r="MF866" i="97"/>
  <c r="MB866" i="97"/>
  <c r="LX866" i="97"/>
  <c r="LT866" i="97"/>
  <c r="LP866" i="97"/>
  <c r="LL866" i="97"/>
  <c r="LD866" i="97"/>
  <c r="KZ866" i="97"/>
  <c r="KV866" i="97"/>
  <c r="KR866" i="97"/>
  <c r="KN866" i="97"/>
  <c r="KJ866" i="97"/>
  <c r="KF866" i="97"/>
  <c r="KB866" i="97"/>
  <c r="JX866" i="97"/>
  <c r="JT866" i="97"/>
  <c r="JP866" i="97"/>
  <c r="JL866" i="97"/>
  <c r="JH866" i="97"/>
  <c r="JD866" i="97"/>
  <c r="IZ866" i="97"/>
  <c r="IV866" i="97"/>
  <c r="IR866" i="97"/>
  <c r="IN866" i="97"/>
  <c r="IJ866" i="97"/>
  <c r="IF866" i="97"/>
  <c r="IB866" i="97"/>
  <c r="HX866" i="97"/>
  <c r="HT866" i="97"/>
  <c r="HP866" i="97"/>
  <c r="HL866" i="97"/>
  <c r="HH866" i="97"/>
  <c r="HD866" i="97"/>
  <c r="GZ866" i="97"/>
  <c r="GV866" i="97"/>
  <c r="GR866" i="97"/>
  <c r="GN866" i="97"/>
  <c r="GJ866" i="97"/>
  <c r="GF866" i="97"/>
  <c r="GB866" i="97"/>
  <c r="FX866" i="97"/>
  <c r="FT866" i="97"/>
  <c r="FP866" i="97"/>
  <c r="FL866" i="97"/>
  <c r="FH866" i="97"/>
  <c r="FD866" i="97"/>
  <c r="EZ866" i="97"/>
  <c r="EV866" i="97"/>
  <c r="ER866" i="97"/>
  <c r="EN866" i="97"/>
  <c r="EJ866" i="97"/>
  <c r="EF866" i="97"/>
  <c r="EB866" i="97"/>
  <c r="DX866" i="97"/>
  <c r="DT866" i="97"/>
  <c r="DP866" i="97"/>
  <c r="DL866" i="97"/>
  <c r="DH866" i="97"/>
  <c r="DD866" i="97"/>
  <c r="CZ866" i="97"/>
  <c r="CV866" i="97"/>
  <c r="CR866" i="97"/>
  <c r="CN866" i="97"/>
  <c r="CJ866" i="97"/>
  <c r="CF866" i="97"/>
  <c r="CB866" i="97"/>
  <c r="BX866" i="97"/>
  <c r="BT866" i="97"/>
  <c r="BP866" i="97"/>
  <c r="BL866" i="97"/>
  <c r="BH866" i="97"/>
  <c r="BD866" i="97"/>
  <c r="AZ866" i="97"/>
  <c r="AV866" i="97"/>
  <c r="AR866" i="97"/>
  <c r="AN866" i="97"/>
  <c r="AJ866" i="97"/>
  <c r="AF866" i="97"/>
  <c r="AB866" i="97"/>
  <c r="X866" i="97"/>
  <c r="MS866" i="97"/>
  <c r="MM866" i="97"/>
  <c r="MH866" i="97"/>
  <c r="MC866" i="97"/>
  <c r="LW866" i="97"/>
  <c r="LR866" i="97"/>
  <c r="LM866" i="97"/>
  <c r="LG866" i="97"/>
  <c r="LB866" i="97"/>
  <c r="KW866" i="97"/>
  <c r="KQ866" i="97"/>
  <c r="KL866" i="97"/>
  <c r="KG866" i="97"/>
  <c r="KA866" i="97"/>
  <c r="JV866" i="97"/>
  <c r="JQ866" i="97"/>
  <c r="JK866" i="97"/>
  <c r="JF866" i="97"/>
  <c r="JA866" i="97"/>
  <c r="IU866" i="97"/>
  <c r="IP866" i="97"/>
  <c r="IK866" i="97"/>
  <c r="IE866" i="97"/>
  <c r="HZ866" i="97"/>
  <c r="HU866" i="97"/>
  <c r="HO866" i="97"/>
  <c r="HJ866" i="97"/>
  <c r="HE866" i="97"/>
  <c r="GY866" i="97"/>
  <c r="GT866" i="97"/>
  <c r="GO866" i="97"/>
  <c r="GI866" i="97"/>
  <c r="GD866" i="97"/>
  <c r="FY866" i="97"/>
  <c r="FS866" i="97"/>
  <c r="FN866" i="97"/>
  <c r="FI866" i="97"/>
  <c r="FC866" i="97"/>
  <c r="EX866" i="97"/>
  <c r="ES866" i="97"/>
  <c r="EM866" i="97"/>
  <c r="EH866" i="97"/>
  <c r="EC866" i="97"/>
  <c r="DW866" i="97"/>
  <c r="DR866" i="97"/>
  <c r="DM866" i="97"/>
  <c r="DG866" i="97"/>
  <c r="DB866" i="97"/>
  <c r="CW866" i="97"/>
  <c r="CQ866" i="97"/>
  <c r="CL866" i="97"/>
  <c r="CG866" i="97"/>
  <c r="CA866" i="97"/>
  <c r="BV866" i="97"/>
  <c r="BQ866" i="97"/>
  <c r="BK866" i="97"/>
  <c r="BF866" i="97"/>
  <c r="BA866" i="97"/>
  <c r="AU866" i="97"/>
  <c r="AP866" i="97"/>
  <c r="AK866" i="97"/>
  <c r="AE866" i="97"/>
  <c r="Z866" i="97"/>
  <c r="MQ866" i="97"/>
  <c r="ML866" i="97"/>
  <c r="MG866" i="97"/>
  <c r="MA866" i="97"/>
  <c r="LV866" i="97"/>
  <c r="LQ866" i="97"/>
  <c r="LK866" i="97"/>
  <c r="LF866" i="97"/>
  <c r="LA866" i="97"/>
  <c r="KU866" i="97"/>
  <c r="KP866" i="97"/>
  <c r="KK866" i="97"/>
  <c r="KE866" i="97"/>
  <c r="JZ866" i="97"/>
  <c r="JU866" i="97"/>
  <c r="JO866" i="97"/>
  <c r="JJ866" i="97"/>
  <c r="JE866" i="97"/>
  <c r="IY866" i="97"/>
  <c r="IT866" i="97"/>
  <c r="IO866" i="97"/>
  <c r="II866" i="97"/>
  <c r="ID866" i="97"/>
  <c r="HY866" i="97"/>
  <c r="HS866" i="97"/>
  <c r="HN866" i="97"/>
  <c r="HI866" i="97"/>
  <c r="HC866" i="97"/>
  <c r="GX866" i="97"/>
  <c r="GS866" i="97"/>
  <c r="GM866" i="97"/>
  <c r="GH866" i="97"/>
  <c r="GC866" i="97"/>
  <c r="FW866" i="97"/>
  <c r="FR866" i="97"/>
  <c r="FM866" i="97"/>
  <c r="FG866" i="97"/>
  <c r="FB866" i="97"/>
  <c r="EW866" i="97"/>
  <c r="EQ866" i="97"/>
  <c r="EL866" i="97"/>
  <c r="EG866" i="97"/>
  <c r="EA866" i="97"/>
  <c r="DV866" i="97"/>
  <c r="DQ866" i="97"/>
  <c r="DK866" i="97"/>
  <c r="DF866" i="97"/>
  <c r="DA866" i="97"/>
  <c r="CU866" i="97"/>
  <c r="CP866" i="97"/>
  <c r="CK866" i="97"/>
  <c r="CE866" i="97"/>
  <c r="BZ866" i="97"/>
  <c r="BU866" i="97"/>
  <c r="BO866" i="97"/>
  <c r="BJ866" i="97"/>
  <c r="BE866" i="97"/>
  <c r="AY866" i="97"/>
  <c r="AT866" i="97"/>
  <c r="AO866" i="97"/>
  <c r="AI866" i="97"/>
  <c r="AD866" i="97"/>
  <c r="Y866" i="97"/>
  <c r="A866" i="97"/>
  <c r="AG866" i="97"/>
  <c r="AQ866" i="97"/>
  <c r="BB866" i="97"/>
  <c r="BM866" i="97"/>
  <c r="BW866" i="97"/>
  <c r="CH866" i="97"/>
  <c r="CS866" i="97"/>
  <c r="DC866" i="97"/>
  <c r="DN866" i="97"/>
  <c r="DY866" i="97"/>
  <c r="EI866" i="97"/>
  <c r="ET866" i="97"/>
  <c r="FE866" i="97"/>
  <c r="FO866" i="97"/>
  <c r="FZ866" i="97"/>
  <c r="GK866" i="97"/>
  <c r="GU866" i="97"/>
  <c r="HF866" i="97"/>
  <c r="HQ866" i="97"/>
  <c r="IA866" i="97"/>
  <c r="IL866" i="97"/>
  <c r="IW866" i="97"/>
  <c r="JG866" i="97"/>
  <c r="JR866" i="97"/>
  <c r="KC866" i="97"/>
  <c r="KM866" i="97"/>
  <c r="KX866" i="97"/>
  <c r="LI866" i="97"/>
  <c r="LS866" i="97"/>
  <c r="MD866" i="97"/>
  <c r="MO866" i="97"/>
  <c r="L868" i="97"/>
  <c r="M868" i="97" s="1"/>
  <c r="J269" i="72"/>
  <c r="J330" i="72"/>
  <c r="A47" i="84"/>
  <c r="C16" i="86"/>
  <c r="G16" i="86"/>
  <c r="H31" i="86"/>
  <c r="C36" i="86"/>
  <c r="G36" i="86"/>
  <c r="D56" i="86"/>
  <c r="H56" i="86"/>
  <c r="E67" i="89"/>
  <c r="H1" i="91"/>
  <c r="M854" i="97"/>
  <c r="LK855" i="97"/>
  <c r="LG855" i="97"/>
  <c r="A855" i="97"/>
  <c r="Y855" i="97"/>
  <c r="AD855" i="97"/>
  <c r="AJ855" i="97"/>
  <c r="AO855" i="97"/>
  <c r="AT855" i="97"/>
  <c r="AZ855" i="97"/>
  <c r="BE855" i="97"/>
  <c r="BJ855" i="97"/>
  <c r="BP855" i="97"/>
  <c r="BU855" i="97"/>
  <c r="BZ855" i="97"/>
  <c r="CF855" i="97"/>
  <c r="CK855" i="97"/>
  <c r="CP855" i="97"/>
  <c r="CV855" i="97"/>
  <c r="DA855" i="97"/>
  <c r="DF855" i="97"/>
  <c r="DL855" i="97"/>
  <c r="DQ855" i="97"/>
  <c r="DV855" i="97"/>
  <c r="EB855" i="97"/>
  <c r="EL855" i="97"/>
  <c r="ER855" i="97"/>
  <c r="EW855" i="97"/>
  <c r="FB855" i="97"/>
  <c r="FH855" i="97"/>
  <c r="FM855" i="97"/>
  <c r="FR855" i="97"/>
  <c r="GH855" i="97"/>
  <c r="GN855" i="97"/>
  <c r="GS855" i="97"/>
  <c r="GX855" i="97"/>
  <c r="HD855" i="97"/>
  <c r="HI855" i="97"/>
  <c r="HN855" i="97"/>
  <c r="HT855" i="97"/>
  <c r="HY855" i="97"/>
  <c r="ID855" i="97"/>
  <c r="IJ855" i="97"/>
  <c r="IO855" i="97"/>
  <c r="IT855" i="97"/>
  <c r="IZ855" i="97"/>
  <c r="JE855" i="97"/>
  <c r="JJ855" i="97"/>
  <c r="JP855" i="97"/>
  <c r="JU855" i="97"/>
  <c r="JZ855" i="97"/>
  <c r="KF855" i="97"/>
  <c r="KK855" i="97"/>
  <c r="KP855" i="97"/>
  <c r="KV855" i="97"/>
  <c r="LA855" i="97"/>
  <c r="LF855" i="97"/>
  <c r="LL855" i="97"/>
  <c r="LQ855" i="97"/>
  <c r="LV855" i="97"/>
  <c r="MB855" i="97"/>
  <c r="MG855" i="97"/>
  <c r="ML855" i="97"/>
  <c r="MQ856" i="97"/>
  <c r="MM856" i="97"/>
  <c r="MI856" i="97"/>
  <c r="ME856" i="97"/>
  <c r="MA856" i="97"/>
  <c r="LW856" i="97"/>
  <c r="LS856" i="97"/>
  <c r="LO856" i="97"/>
  <c r="LC856" i="97"/>
  <c r="KY856" i="97"/>
  <c r="KU856" i="97"/>
  <c r="KQ856" i="97"/>
  <c r="KM856" i="97"/>
  <c r="KI856" i="97"/>
  <c r="KE856" i="97"/>
  <c r="KA856" i="97"/>
  <c r="JW856" i="97"/>
  <c r="JS856" i="97"/>
  <c r="JO856" i="97"/>
  <c r="JK856" i="97"/>
  <c r="JG856" i="97"/>
  <c r="JC856" i="97"/>
  <c r="IY856" i="97"/>
  <c r="IU856" i="97"/>
  <c r="IQ856" i="97"/>
  <c r="IM856" i="97"/>
  <c r="II856" i="97"/>
  <c r="IE856" i="97"/>
  <c r="IA856" i="97"/>
  <c r="HW856" i="97"/>
  <c r="HS856" i="97"/>
  <c r="HO856" i="97"/>
  <c r="HK856" i="97"/>
  <c r="HG856" i="97"/>
  <c r="HC856" i="97"/>
  <c r="GY856" i="97"/>
  <c r="GU856" i="97"/>
  <c r="GQ856" i="97"/>
  <c r="GM856" i="97"/>
  <c r="GI856" i="97"/>
  <c r="GE856" i="97"/>
  <c r="GA856" i="97"/>
  <c r="FW856" i="97"/>
  <c r="FS856" i="97"/>
  <c r="FO856" i="97"/>
  <c r="FK856" i="97"/>
  <c r="FG856" i="97"/>
  <c r="FC856" i="97"/>
  <c r="EY856" i="97"/>
  <c r="EU856" i="97"/>
  <c r="EQ856" i="97"/>
  <c r="EM856" i="97"/>
  <c r="EI856" i="97"/>
  <c r="EE856" i="97"/>
  <c r="EA856" i="97"/>
  <c r="DW856" i="97"/>
  <c r="DS856" i="97"/>
  <c r="DO856" i="97"/>
  <c r="DK856" i="97"/>
  <c r="DG856" i="97"/>
  <c r="DC856" i="97"/>
  <c r="CY856" i="97"/>
  <c r="CU856" i="97"/>
  <c r="CQ856" i="97"/>
  <c r="CM856" i="97"/>
  <c r="CI856" i="97"/>
  <c r="CE856" i="97"/>
  <c r="CA856" i="97"/>
  <c r="BW856" i="97"/>
  <c r="BS856" i="97"/>
  <c r="BO856" i="97"/>
  <c r="BK856" i="97"/>
  <c r="BG856" i="97"/>
  <c r="BC856" i="97"/>
  <c r="AY856" i="97"/>
  <c r="AU856" i="97"/>
  <c r="AQ856" i="97"/>
  <c r="AM856" i="97"/>
  <c r="AI856" i="97"/>
  <c r="AE856" i="97"/>
  <c r="AA856" i="97"/>
  <c r="Z856" i="97"/>
  <c r="AF856" i="97"/>
  <c r="AK856" i="97"/>
  <c r="AP856" i="97"/>
  <c r="AV856" i="97"/>
  <c r="BA856" i="97"/>
  <c r="BF856" i="97"/>
  <c r="BL856" i="97"/>
  <c r="BQ856" i="97"/>
  <c r="BV856" i="97"/>
  <c r="CB856" i="97"/>
  <c r="CG856" i="97"/>
  <c r="CL856" i="97"/>
  <c r="CR856" i="97"/>
  <c r="CW856" i="97"/>
  <c r="DB856" i="97"/>
  <c r="DH856" i="97"/>
  <c r="DM856" i="97"/>
  <c r="DR856" i="97"/>
  <c r="DX856" i="97"/>
  <c r="EC856" i="97"/>
  <c r="EH856" i="97"/>
  <c r="EN856" i="97"/>
  <c r="ES856" i="97"/>
  <c r="EX856" i="97"/>
  <c r="FD856" i="97"/>
  <c r="FI856" i="97"/>
  <c r="FN856" i="97"/>
  <c r="FT856" i="97"/>
  <c r="FY856" i="97"/>
  <c r="GD856" i="97"/>
  <c r="GJ856" i="97"/>
  <c r="GO856" i="97"/>
  <c r="GT856" i="97"/>
  <c r="GZ856" i="97"/>
  <c r="HE856" i="97"/>
  <c r="HJ856" i="97"/>
  <c r="HP856" i="97"/>
  <c r="HU856" i="97"/>
  <c r="HZ856" i="97"/>
  <c r="IF856" i="97"/>
  <c r="IK856" i="97"/>
  <c r="IP856" i="97"/>
  <c r="IV856" i="97"/>
  <c r="JA856" i="97"/>
  <c r="JF856" i="97"/>
  <c r="JL856" i="97"/>
  <c r="JQ856" i="97"/>
  <c r="JV856" i="97"/>
  <c r="KB856" i="97"/>
  <c r="KG856" i="97"/>
  <c r="KL856" i="97"/>
  <c r="KR856" i="97"/>
  <c r="KW856" i="97"/>
  <c r="LB856" i="97"/>
  <c r="LM856" i="97"/>
  <c r="LR856" i="97"/>
  <c r="LX856" i="97"/>
  <c r="MC856" i="97"/>
  <c r="MH856" i="97"/>
  <c r="MN856" i="97"/>
  <c r="MS856" i="97"/>
  <c r="BQ859" i="97"/>
  <c r="BY859" i="97"/>
  <c r="CG859" i="97"/>
  <c r="CO859" i="97"/>
  <c r="CW859" i="97"/>
  <c r="DE859" i="97"/>
  <c r="DM859" i="97"/>
  <c r="DU859" i="97"/>
  <c r="EC859" i="97"/>
  <c r="GG859" i="97"/>
  <c r="GO859" i="97"/>
  <c r="GW859" i="97"/>
  <c r="HE859" i="97"/>
  <c r="HM859" i="97"/>
  <c r="HU859" i="97"/>
  <c r="LU859" i="97"/>
  <c r="BQ861" i="97"/>
  <c r="BY861" i="97"/>
  <c r="CG861" i="97"/>
  <c r="CO861" i="97"/>
  <c r="CW861" i="97"/>
  <c r="DE861" i="97"/>
  <c r="DM861" i="97"/>
  <c r="DU861" i="97"/>
  <c r="EC861" i="97"/>
  <c r="GG861" i="97"/>
  <c r="GO861" i="97"/>
  <c r="GW861" i="97"/>
  <c r="HE861" i="97"/>
  <c r="HM861" i="97"/>
  <c r="HU861" i="97"/>
  <c r="IC861" i="97"/>
  <c r="IK861" i="97"/>
  <c r="IS861" i="97"/>
  <c r="JA861" i="97"/>
  <c r="JI861" i="97"/>
  <c r="JQ861" i="97"/>
  <c r="JY861" i="97"/>
  <c r="KG861" i="97"/>
  <c r="KO861" i="97"/>
  <c r="KW861" i="97"/>
  <c r="LE861" i="97"/>
  <c r="LU861" i="97"/>
  <c r="MK861" i="97"/>
  <c r="Y862" i="97"/>
  <c r="AG862" i="97"/>
  <c r="AO862" i="97"/>
  <c r="AW862" i="97"/>
  <c r="BE862" i="97"/>
  <c r="BM862" i="97"/>
  <c r="BU862" i="97"/>
  <c r="CC862" i="97"/>
  <c r="CK862" i="97"/>
  <c r="CS862" i="97"/>
  <c r="DA862" i="97"/>
  <c r="DI862" i="97"/>
  <c r="DQ862" i="97"/>
  <c r="DY862" i="97"/>
  <c r="EG862" i="97"/>
  <c r="EO862" i="97"/>
  <c r="EW862" i="97"/>
  <c r="FE862" i="97"/>
  <c r="FM862" i="97"/>
  <c r="FU862" i="97"/>
  <c r="GE862" i="97"/>
  <c r="GP862" i="97"/>
  <c r="HA862" i="97"/>
  <c r="HK862" i="97"/>
  <c r="HV862" i="97"/>
  <c r="IG862" i="97"/>
  <c r="IQ862" i="97"/>
  <c r="JB862" i="97"/>
  <c r="JM862" i="97"/>
  <c r="JW862" i="97"/>
  <c r="KH862" i="97"/>
  <c r="KS862" i="97"/>
  <c r="LC862" i="97"/>
  <c r="LN862" i="97"/>
  <c r="LY862" i="97"/>
  <c r="MI862" i="97"/>
  <c r="MT862" i="97"/>
  <c r="L863" i="97"/>
  <c r="M863" i="97" s="1"/>
  <c r="IO863" i="97"/>
  <c r="IY863" i="97"/>
  <c r="JJ863" i="97"/>
  <c r="JU863" i="97"/>
  <c r="KE863" i="97"/>
  <c r="KP863" i="97"/>
  <c r="LA863" i="97"/>
  <c r="MG863" i="97"/>
  <c r="MQ863" i="97"/>
  <c r="L864" i="97"/>
  <c r="M864" i="97" s="1"/>
  <c r="LE864" i="97"/>
  <c r="KY864" i="97"/>
  <c r="KT864" i="97"/>
  <c r="KO864" i="97"/>
  <c r="KI864" i="97"/>
  <c r="KD864" i="97"/>
  <c r="JY864" i="97"/>
  <c r="JS864" i="97"/>
  <c r="JN864" i="97"/>
  <c r="JI864" i="97"/>
  <c r="JC864" i="97"/>
  <c r="IX864" i="97"/>
  <c r="IS864" i="97"/>
  <c r="IM864" i="97"/>
  <c r="IH864" i="97"/>
  <c r="IC864" i="97"/>
  <c r="IE864" i="97"/>
  <c r="IP864" i="97"/>
  <c r="JA864" i="97"/>
  <c r="JK864" i="97"/>
  <c r="JV864" i="97"/>
  <c r="KG864" i="97"/>
  <c r="KQ864" i="97"/>
  <c r="LB864" i="97"/>
  <c r="MG864" i="97"/>
  <c r="MQ864" i="97"/>
  <c r="Z865" i="97"/>
  <c r="AK865" i="97"/>
  <c r="AU865" i="97"/>
  <c r="BF865" i="97"/>
  <c r="BQ865" i="97"/>
  <c r="CA865" i="97"/>
  <c r="CL865" i="97"/>
  <c r="CW865" i="97"/>
  <c r="DG865" i="97"/>
  <c r="DR865" i="97"/>
  <c r="EC865" i="97"/>
  <c r="EM865" i="97"/>
  <c r="EX865" i="97"/>
  <c r="FI865" i="97"/>
  <c r="FS865" i="97"/>
  <c r="GD865" i="97"/>
  <c r="GO865" i="97"/>
  <c r="GY865" i="97"/>
  <c r="HJ865" i="97"/>
  <c r="HU865" i="97"/>
  <c r="IE865" i="97"/>
  <c r="IP865" i="97"/>
  <c r="JA865" i="97"/>
  <c r="JK865" i="97"/>
  <c r="JV865" i="97"/>
  <c r="KG865" i="97"/>
  <c r="KQ865" i="97"/>
  <c r="LB865" i="97"/>
  <c r="LM865" i="97"/>
  <c r="LW865" i="97"/>
  <c r="MH865" i="97"/>
  <c r="MS865" i="97"/>
  <c r="AH866" i="97"/>
  <c r="AS866" i="97"/>
  <c r="BC866" i="97"/>
  <c r="BN866" i="97"/>
  <c r="BY866" i="97"/>
  <c r="CI866" i="97"/>
  <c r="CT866" i="97"/>
  <c r="DE866" i="97"/>
  <c r="DO866" i="97"/>
  <c r="DZ866" i="97"/>
  <c r="EK866" i="97"/>
  <c r="EU866" i="97"/>
  <c r="FF866" i="97"/>
  <c r="FQ866" i="97"/>
  <c r="GA866" i="97"/>
  <c r="GL866" i="97"/>
  <c r="GW866" i="97"/>
  <c r="HG866" i="97"/>
  <c r="HR866" i="97"/>
  <c r="IC866" i="97"/>
  <c r="IM866" i="97"/>
  <c r="IX866" i="97"/>
  <c r="JI866" i="97"/>
  <c r="JS866" i="97"/>
  <c r="KD866" i="97"/>
  <c r="KO866" i="97"/>
  <c r="KY866" i="97"/>
  <c r="LJ866" i="97"/>
  <c r="LU866" i="97"/>
  <c r="ME866" i="97"/>
  <c r="MP866" i="97"/>
  <c r="MP867" i="97"/>
  <c r="LD867" i="97"/>
  <c r="KV867" i="97"/>
  <c r="KP867" i="97"/>
  <c r="KK867" i="97"/>
  <c r="KE867" i="97"/>
  <c r="JZ867" i="97"/>
  <c r="JU867" i="97"/>
  <c r="JO867" i="97"/>
  <c r="JJ867" i="97"/>
  <c r="JE867" i="97"/>
  <c r="IY867" i="97"/>
  <c r="IT867" i="97"/>
  <c r="IO867" i="97"/>
  <c r="II867" i="97"/>
  <c r="IS867" i="97"/>
  <c r="JN867" i="97"/>
  <c r="KI867" i="97"/>
  <c r="D16" i="86"/>
  <c r="H16" i="86"/>
  <c r="D36" i="86"/>
  <c r="H36" i="86"/>
  <c r="E889" i="97"/>
  <c r="F889" i="97"/>
  <c r="M851" i="97"/>
  <c r="M853" i="97"/>
  <c r="LK854" i="97"/>
  <c r="LG854" i="97"/>
  <c r="A854" i="97"/>
  <c r="MQ855" i="97"/>
  <c r="MM855" i="97"/>
  <c r="MI855" i="97"/>
  <c r="ME855" i="97"/>
  <c r="MA855" i="97"/>
  <c r="LW855" i="97"/>
  <c r="LS855" i="97"/>
  <c r="LO855" i="97"/>
  <c r="LC855" i="97"/>
  <c r="KY855" i="97"/>
  <c r="KU855" i="97"/>
  <c r="KQ855" i="97"/>
  <c r="KM855" i="97"/>
  <c r="KI855" i="97"/>
  <c r="KE855" i="97"/>
  <c r="KA855" i="97"/>
  <c r="JW855" i="97"/>
  <c r="JS855" i="97"/>
  <c r="JO855" i="97"/>
  <c r="JK855" i="97"/>
  <c r="JG855" i="97"/>
  <c r="JC855" i="97"/>
  <c r="IY855" i="97"/>
  <c r="IU855" i="97"/>
  <c r="IQ855" i="97"/>
  <c r="IM855" i="97"/>
  <c r="II855" i="97"/>
  <c r="IE855" i="97"/>
  <c r="IA855" i="97"/>
  <c r="HW855" i="97"/>
  <c r="HS855" i="97"/>
  <c r="HO855" i="97"/>
  <c r="HK855" i="97"/>
  <c r="HG855" i="97"/>
  <c r="HC855" i="97"/>
  <c r="GY855" i="97"/>
  <c r="GU855" i="97"/>
  <c r="GQ855" i="97"/>
  <c r="GM855" i="97"/>
  <c r="GI855" i="97"/>
  <c r="GE855" i="97"/>
  <c r="GA855" i="97"/>
  <c r="FW855" i="97"/>
  <c r="FS855" i="97"/>
  <c r="FO855" i="97"/>
  <c r="FK855" i="97"/>
  <c r="FG855" i="97"/>
  <c r="FC855" i="97"/>
  <c r="EY855" i="97"/>
  <c r="EU855" i="97"/>
  <c r="EQ855" i="97"/>
  <c r="EM855" i="97"/>
  <c r="EI855" i="97"/>
  <c r="EE855" i="97"/>
  <c r="EA855" i="97"/>
  <c r="DW855" i="97"/>
  <c r="DS855" i="97"/>
  <c r="DO855" i="97"/>
  <c r="DK855" i="97"/>
  <c r="DG855" i="97"/>
  <c r="DC855" i="97"/>
  <c r="CY855" i="97"/>
  <c r="CU855" i="97"/>
  <c r="CQ855" i="97"/>
  <c r="CM855" i="97"/>
  <c r="CI855" i="97"/>
  <c r="CE855" i="97"/>
  <c r="CA855" i="97"/>
  <c r="BW855" i="97"/>
  <c r="BS855" i="97"/>
  <c r="BO855" i="97"/>
  <c r="BK855" i="97"/>
  <c r="BG855" i="97"/>
  <c r="BC855" i="97"/>
  <c r="AY855" i="97"/>
  <c r="AU855" i="97"/>
  <c r="AQ855" i="97"/>
  <c r="AM855" i="97"/>
  <c r="AI855" i="97"/>
  <c r="AE855" i="97"/>
  <c r="AA855" i="97"/>
  <c r="Z855" i="97"/>
  <c r="AF855" i="97"/>
  <c r="AK855" i="97"/>
  <c r="AP855" i="97"/>
  <c r="AV855" i="97"/>
  <c r="BA855" i="97"/>
  <c r="BF855" i="97"/>
  <c r="BL855" i="97"/>
  <c r="BQ855" i="97"/>
  <c r="BV855" i="97"/>
  <c r="CB855" i="97"/>
  <c r="CG855" i="97"/>
  <c r="CL855" i="97"/>
  <c r="CR855" i="97"/>
  <c r="CW855" i="97"/>
  <c r="DB855" i="97"/>
  <c r="DH855" i="97"/>
  <c r="DM855" i="97"/>
  <c r="DR855" i="97"/>
  <c r="DX855" i="97"/>
  <c r="EC855" i="97"/>
  <c r="EH855" i="97"/>
  <c r="EN855" i="97"/>
  <c r="ES855" i="97"/>
  <c r="EX855" i="97"/>
  <c r="FD855" i="97"/>
  <c r="FI855" i="97"/>
  <c r="FN855" i="97"/>
  <c r="FT855" i="97"/>
  <c r="FY855" i="97"/>
  <c r="GD855" i="97"/>
  <c r="GJ855" i="97"/>
  <c r="GO855" i="97"/>
  <c r="GT855" i="97"/>
  <c r="GZ855" i="97"/>
  <c r="HE855" i="97"/>
  <c r="HJ855" i="97"/>
  <c r="HP855" i="97"/>
  <c r="HU855" i="97"/>
  <c r="HZ855" i="97"/>
  <c r="IF855" i="97"/>
  <c r="IK855" i="97"/>
  <c r="IP855" i="97"/>
  <c r="IV855" i="97"/>
  <c r="JA855" i="97"/>
  <c r="JF855" i="97"/>
  <c r="JL855" i="97"/>
  <c r="JQ855" i="97"/>
  <c r="JV855" i="97"/>
  <c r="KB855" i="97"/>
  <c r="KG855" i="97"/>
  <c r="KL855" i="97"/>
  <c r="KR855" i="97"/>
  <c r="KW855" i="97"/>
  <c r="LB855" i="97"/>
  <c r="LH855" i="97"/>
  <c r="LM855" i="97"/>
  <c r="LR855" i="97"/>
  <c r="LX855" i="97"/>
  <c r="MC855" i="97"/>
  <c r="MH855" i="97"/>
  <c r="MN855" i="97"/>
  <c r="MS855" i="97"/>
  <c r="AB856" i="97"/>
  <c r="AG856" i="97"/>
  <c r="AL856" i="97"/>
  <c r="AR856" i="97"/>
  <c r="AW856" i="97"/>
  <c r="BB856" i="97"/>
  <c r="BH856" i="97"/>
  <c r="BM856" i="97"/>
  <c r="BR856" i="97"/>
  <c r="BX856" i="97"/>
  <c r="CC856" i="97"/>
  <c r="CH856" i="97"/>
  <c r="CN856" i="97"/>
  <c r="CS856" i="97"/>
  <c r="CX856" i="97"/>
  <c r="DD856" i="97"/>
  <c r="DI856" i="97"/>
  <c r="DN856" i="97"/>
  <c r="DT856" i="97"/>
  <c r="DY856" i="97"/>
  <c r="ED856" i="97"/>
  <c r="EJ856" i="97"/>
  <c r="EO856" i="97"/>
  <c r="ET856" i="97"/>
  <c r="EZ856" i="97"/>
  <c r="FE856" i="97"/>
  <c r="FJ856" i="97"/>
  <c r="FP856" i="97"/>
  <c r="FU856" i="97"/>
  <c r="FZ856" i="97"/>
  <c r="GF856" i="97"/>
  <c r="GK856" i="97"/>
  <c r="GP856" i="97"/>
  <c r="GV856" i="97"/>
  <c r="HA856" i="97"/>
  <c r="HF856" i="97"/>
  <c r="HL856" i="97"/>
  <c r="HQ856" i="97"/>
  <c r="HV856" i="97"/>
  <c r="IB856" i="97"/>
  <c r="IG856" i="97"/>
  <c r="IL856" i="97"/>
  <c r="IR856" i="97"/>
  <c r="IW856" i="97"/>
  <c r="JB856" i="97"/>
  <c r="JH856" i="97"/>
  <c r="JM856" i="97"/>
  <c r="JR856" i="97"/>
  <c r="JX856" i="97"/>
  <c r="KC856" i="97"/>
  <c r="KH856" i="97"/>
  <c r="KN856" i="97"/>
  <c r="KS856" i="97"/>
  <c r="KX856" i="97"/>
  <c r="LD856" i="97"/>
  <c r="LN856" i="97"/>
  <c r="LT856" i="97"/>
  <c r="LY856" i="97"/>
  <c r="MD856" i="97"/>
  <c r="MJ856" i="97"/>
  <c r="MO856" i="97"/>
  <c r="MT856" i="97"/>
  <c r="M857" i="97"/>
  <c r="MR859" i="97"/>
  <c r="MN859" i="97"/>
  <c r="MJ859" i="97"/>
  <c r="MF859" i="97"/>
  <c r="MB859" i="97"/>
  <c r="LX859" i="97"/>
  <c r="LT859" i="97"/>
  <c r="LP859" i="97"/>
  <c r="LL859" i="97"/>
  <c r="LD859" i="97"/>
  <c r="KZ859" i="97"/>
  <c r="KV859" i="97"/>
  <c r="KR859" i="97"/>
  <c r="KN859" i="97"/>
  <c r="KJ859" i="97"/>
  <c r="KF859" i="97"/>
  <c r="KB859" i="97"/>
  <c r="JX859" i="97"/>
  <c r="JT859" i="97"/>
  <c r="JP859" i="97"/>
  <c r="JL859" i="97"/>
  <c r="JH859" i="97"/>
  <c r="JD859" i="97"/>
  <c r="IZ859" i="97"/>
  <c r="IV859" i="97"/>
  <c r="IR859" i="97"/>
  <c r="IN859" i="97"/>
  <c r="IJ859" i="97"/>
  <c r="IF859" i="97"/>
  <c r="IB859" i="97"/>
  <c r="HX859" i="97"/>
  <c r="HT859" i="97"/>
  <c r="HP859" i="97"/>
  <c r="HL859" i="97"/>
  <c r="HH859" i="97"/>
  <c r="HD859" i="97"/>
  <c r="GZ859" i="97"/>
  <c r="GV859" i="97"/>
  <c r="GR859" i="97"/>
  <c r="GN859" i="97"/>
  <c r="GJ859" i="97"/>
  <c r="GF859" i="97"/>
  <c r="GB859" i="97"/>
  <c r="FX859" i="97"/>
  <c r="FT859" i="97"/>
  <c r="FP859" i="97"/>
  <c r="FL859" i="97"/>
  <c r="FH859" i="97"/>
  <c r="FD859" i="97"/>
  <c r="EZ859" i="97"/>
  <c r="EV859" i="97"/>
  <c r="ER859" i="97"/>
  <c r="EN859" i="97"/>
  <c r="EJ859" i="97"/>
  <c r="EF859" i="97"/>
  <c r="EB859" i="97"/>
  <c r="DX859" i="97"/>
  <c r="DT859" i="97"/>
  <c r="DP859" i="97"/>
  <c r="DL859" i="97"/>
  <c r="DH859" i="97"/>
  <c r="DD859" i="97"/>
  <c r="CZ859" i="97"/>
  <c r="CV859" i="97"/>
  <c r="CR859" i="97"/>
  <c r="CN859" i="97"/>
  <c r="CJ859" i="97"/>
  <c r="CF859" i="97"/>
  <c r="CB859" i="97"/>
  <c r="BX859" i="97"/>
  <c r="BT859" i="97"/>
  <c r="BP859" i="97"/>
  <c r="BL859" i="97"/>
  <c r="BH859" i="97"/>
  <c r="BD859" i="97"/>
  <c r="AZ859" i="97"/>
  <c r="AV859" i="97"/>
  <c r="AR859" i="97"/>
  <c r="AN859" i="97"/>
  <c r="AJ859" i="97"/>
  <c r="AF859" i="97"/>
  <c r="AB859" i="97"/>
  <c r="X859" i="97"/>
  <c r="MQ859" i="97"/>
  <c r="MM859" i="97"/>
  <c r="MI859" i="97"/>
  <c r="ME859" i="97"/>
  <c r="MA859" i="97"/>
  <c r="LW859" i="97"/>
  <c r="LS859" i="97"/>
  <c r="LO859" i="97"/>
  <c r="LC859" i="97"/>
  <c r="KY859" i="97"/>
  <c r="KU859" i="97"/>
  <c r="KQ859" i="97"/>
  <c r="KM859" i="97"/>
  <c r="KI859" i="97"/>
  <c r="KE859" i="97"/>
  <c r="KA859" i="97"/>
  <c r="JW859" i="97"/>
  <c r="JS859" i="97"/>
  <c r="JO859" i="97"/>
  <c r="JK859" i="97"/>
  <c r="JG859" i="97"/>
  <c r="JC859" i="97"/>
  <c r="IY859" i="97"/>
  <c r="IU859" i="97"/>
  <c r="IQ859" i="97"/>
  <c r="IM859" i="97"/>
  <c r="II859" i="97"/>
  <c r="IE859" i="97"/>
  <c r="IA859" i="97"/>
  <c r="HW859" i="97"/>
  <c r="HS859" i="97"/>
  <c r="HO859" i="97"/>
  <c r="HK859" i="97"/>
  <c r="HG859" i="97"/>
  <c r="HC859" i="97"/>
  <c r="GY859" i="97"/>
  <c r="GU859" i="97"/>
  <c r="GQ859" i="97"/>
  <c r="GM859" i="97"/>
  <c r="GI859" i="97"/>
  <c r="GE859" i="97"/>
  <c r="GA859" i="97"/>
  <c r="FW859" i="97"/>
  <c r="FS859" i="97"/>
  <c r="FO859" i="97"/>
  <c r="FK859" i="97"/>
  <c r="FG859" i="97"/>
  <c r="FC859" i="97"/>
  <c r="EY859" i="97"/>
  <c r="EU859" i="97"/>
  <c r="EQ859" i="97"/>
  <c r="EM859" i="97"/>
  <c r="EI859" i="97"/>
  <c r="EE859" i="97"/>
  <c r="EA859" i="97"/>
  <c r="DW859" i="97"/>
  <c r="DS859" i="97"/>
  <c r="DO859" i="97"/>
  <c r="DK859" i="97"/>
  <c r="DG859" i="97"/>
  <c r="DC859" i="97"/>
  <c r="CY859" i="97"/>
  <c r="CU859" i="97"/>
  <c r="CQ859" i="97"/>
  <c r="CM859" i="97"/>
  <c r="CI859" i="97"/>
  <c r="CE859" i="97"/>
  <c r="CA859" i="97"/>
  <c r="BW859" i="97"/>
  <c r="BS859" i="97"/>
  <c r="BO859" i="97"/>
  <c r="BK859" i="97"/>
  <c r="BG859" i="97"/>
  <c r="BC859" i="97"/>
  <c r="AY859" i="97"/>
  <c r="AU859" i="97"/>
  <c r="AQ859" i="97"/>
  <c r="AM859" i="97"/>
  <c r="AI859" i="97"/>
  <c r="AE859" i="97"/>
  <c r="AA859" i="97"/>
  <c r="AD859" i="97"/>
  <c r="AL859" i="97"/>
  <c r="AT859" i="97"/>
  <c r="BB859" i="97"/>
  <c r="BJ859" i="97"/>
  <c r="BR859" i="97"/>
  <c r="BZ859" i="97"/>
  <c r="CH859" i="97"/>
  <c r="CP859" i="97"/>
  <c r="CX859" i="97"/>
  <c r="DF859" i="97"/>
  <c r="DN859" i="97"/>
  <c r="DV859" i="97"/>
  <c r="ED859" i="97"/>
  <c r="EL859" i="97"/>
  <c r="ET859" i="97"/>
  <c r="FB859" i="97"/>
  <c r="FJ859" i="97"/>
  <c r="FR859" i="97"/>
  <c r="FZ859" i="97"/>
  <c r="GH859" i="97"/>
  <c r="GP859" i="97"/>
  <c r="GX859" i="97"/>
  <c r="HF859" i="97"/>
  <c r="HN859" i="97"/>
  <c r="HV859" i="97"/>
  <c r="ID859" i="97"/>
  <c r="IL859" i="97"/>
  <c r="IT859" i="97"/>
  <c r="JB859" i="97"/>
  <c r="JJ859" i="97"/>
  <c r="JR859" i="97"/>
  <c r="JZ859" i="97"/>
  <c r="KH859" i="97"/>
  <c r="KP859" i="97"/>
  <c r="KX859" i="97"/>
  <c r="LF859" i="97"/>
  <c r="LN859" i="97"/>
  <c r="LV859" i="97"/>
  <c r="MD859" i="97"/>
  <c r="ML859" i="97"/>
  <c r="MT859" i="97"/>
  <c r="MR861" i="97"/>
  <c r="MN861" i="97"/>
  <c r="MJ861" i="97"/>
  <c r="MF861" i="97"/>
  <c r="MB861" i="97"/>
  <c r="LX861" i="97"/>
  <c r="LT861" i="97"/>
  <c r="LP861" i="97"/>
  <c r="LL861" i="97"/>
  <c r="LD861" i="97"/>
  <c r="KZ861" i="97"/>
  <c r="KV861" i="97"/>
  <c r="KR861" i="97"/>
  <c r="KN861" i="97"/>
  <c r="KJ861" i="97"/>
  <c r="KF861" i="97"/>
  <c r="KB861" i="97"/>
  <c r="JX861" i="97"/>
  <c r="JT861" i="97"/>
  <c r="JP861" i="97"/>
  <c r="JL861" i="97"/>
  <c r="JH861" i="97"/>
  <c r="JD861" i="97"/>
  <c r="IZ861" i="97"/>
  <c r="IV861" i="97"/>
  <c r="IR861" i="97"/>
  <c r="IN861" i="97"/>
  <c r="IJ861" i="97"/>
  <c r="IF861" i="97"/>
  <c r="IB861" i="97"/>
  <c r="HX861" i="97"/>
  <c r="HT861" i="97"/>
  <c r="HP861" i="97"/>
  <c r="HL861" i="97"/>
  <c r="HH861" i="97"/>
  <c r="HD861" i="97"/>
  <c r="GZ861" i="97"/>
  <c r="GV861" i="97"/>
  <c r="GR861" i="97"/>
  <c r="GN861" i="97"/>
  <c r="GJ861" i="97"/>
  <c r="GF861" i="97"/>
  <c r="GB861" i="97"/>
  <c r="FX861" i="97"/>
  <c r="FT861" i="97"/>
  <c r="FP861" i="97"/>
  <c r="FL861" i="97"/>
  <c r="FH861" i="97"/>
  <c r="FD861" i="97"/>
  <c r="EZ861" i="97"/>
  <c r="EV861" i="97"/>
  <c r="ER861" i="97"/>
  <c r="EN861" i="97"/>
  <c r="EJ861" i="97"/>
  <c r="EF861" i="97"/>
  <c r="EB861" i="97"/>
  <c r="DX861" i="97"/>
  <c r="DT861" i="97"/>
  <c r="DP861" i="97"/>
  <c r="DL861" i="97"/>
  <c r="DH861" i="97"/>
  <c r="DD861" i="97"/>
  <c r="CZ861" i="97"/>
  <c r="CV861" i="97"/>
  <c r="CR861" i="97"/>
  <c r="CN861" i="97"/>
  <c r="CJ861" i="97"/>
  <c r="CF861" i="97"/>
  <c r="CB861" i="97"/>
  <c r="BX861" i="97"/>
  <c r="BT861" i="97"/>
  <c r="BP861" i="97"/>
  <c r="BL861" i="97"/>
  <c r="BH861" i="97"/>
  <c r="BD861" i="97"/>
  <c r="AZ861" i="97"/>
  <c r="AV861" i="97"/>
  <c r="AR861" i="97"/>
  <c r="AN861" i="97"/>
  <c r="AJ861" i="97"/>
  <c r="AF861" i="97"/>
  <c r="AB861" i="97"/>
  <c r="X861" i="97"/>
  <c r="MQ861" i="97"/>
  <c r="MM861" i="97"/>
  <c r="MI861" i="97"/>
  <c r="ME861" i="97"/>
  <c r="MA861" i="97"/>
  <c r="LW861" i="97"/>
  <c r="LS861" i="97"/>
  <c r="LO861" i="97"/>
  <c r="LC861" i="97"/>
  <c r="KY861" i="97"/>
  <c r="KU861" i="97"/>
  <c r="KQ861" i="97"/>
  <c r="KM861" i="97"/>
  <c r="KI861" i="97"/>
  <c r="KE861" i="97"/>
  <c r="KA861" i="97"/>
  <c r="JW861" i="97"/>
  <c r="JS861" i="97"/>
  <c r="JO861" i="97"/>
  <c r="JK861" i="97"/>
  <c r="JG861" i="97"/>
  <c r="JC861" i="97"/>
  <c r="IY861" i="97"/>
  <c r="IU861" i="97"/>
  <c r="IQ861" i="97"/>
  <c r="IM861" i="97"/>
  <c r="II861" i="97"/>
  <c r="IE861" i="97"/>
  <c r="IA861" i="97"/>
  <c r="HW861" i="97"/>
  <c r="HS861" i="97"/>
  <c r="HO861" i="97"/>
  <c r="HK861" i="97"/>
  <c r="HG861" i="97"/>
  <c r="HC861" i="97"/>
  <c r="GY861" i="97"/>
  <c r="GU861" i="97"/>
  <c r="GQ861" i="97"/>
  <c r="GM861" i="97"/>
  <c r="GI861" i="97"/>
  <c r="GE861" i="97"/>
  <c r="GA861" i="97"/>
  <c r="FW861" i="97"/>
  <c r="FS861" i="97"/>
  <c r="FO861" i="97"/>
  <c r="FK861" i="97"/>
  <c r="FG861" i="97"/>
  <c r="FC861" i="97"/>
  <c r="EY861" i="97"/>
  <c r="EU861" i="97"/>
  <c r="EQ861" i="97"/>
  <c r="EM861" i="97"/>
  <c r="EI861" i="97"/>
  <c r="EE861" i="97"/>
  <c r="EA861" i="97"/>
  <c r="DW861" i="97"/>
  <c r="DS861" i="97"/>
  <c r="DO861" i="97"/>
  <c r="DK861" i="97"/>
  <c r="DG861" i="97"/>
  <c r="DC861" i="97"/>
  <c r="CY861" i="97"/>
  <c r="CU861" i="97"/>
  <c r="CQ861" i="97"/>
  <c r="CM861" i="97"/>
  <c r="CI861" i="97"/>
  <c r="CE861" i="97"/>
  <c r="CA861" i="97"/>
  <c r="BW861" i="97"/>
  <c r="BS861" i="97"/>
  <c r="BO861" i="97"/>
  <c r="BK861" i="97"/>
  <c r="BG861" i="97"/>
  <c r="BC861" i="97"/>
  <c r="AY861" i="97"/>
  <c r="AU861" i="97"/>
  <c r="AQ861" i="97"/>
  <c r="AM861" i="97"/>
  <c r="AI861" i="97"/>
  <c r="AE861" i="97"/>
  <c r="AA861" i="97"/>
  <c r="AD861" i="97"/>
  <c r="AL861" i="97"/>
  <c r="AT861" i="97"/>
  <c r="BB861" i="97"/>
  <c r="BJ861" i="97"/>
  <c r="BR861" i="97"/>
  <c r="BZ861" i="97"/>
  <c r="CH861" i="97"/>
  <c r="CP861" i="97"/>
  <c r="CX861" i="97"/>
  <c r="DF861" i="97"/>
  <c r="DN861" i="97"/>
  <c r="DV861" i="97"/>
  <c r="ED861" i="97"/>
  <c r="EL861" i="97"/>
  <c r="ET861" i="97"/>
  <c r="FB861" i="97"/>
  <c r="FJ861" i="97"/>
  <c r="FR861" i="97"/>
  <c r="FZ861" i="97"/>
  <c r="GH861" i="97"/>
  <c r="GP861" i="97"/>
  <c r="GX861" i="97"/>
  <c r="HF861" i="97"/>
  <c r="HN861" i="97"/>
  <c r="HV861" i="97"/>
  <c r="ID861" i="97"/>
  <c r="IL861" i="97"/>
  <c r="IT861" i="97"/>
  <c r="JB861" i="97"/>
  <c r="JJ861" i="97"/>
  <c r="JR861" i="97"/>
  <c r="JZ861" i="97"/>
  <c r="KH861" i="97"/>
  <c r="KP861" i="97"/>
  <c r="KX861" i="97"/>
  <c r="LF861" i="97"/>
  <c r="LN861" i="97"/>
  <c r="LV861" i="97"/>
  <c r="MD861" i="97"/>
  <c r="ML861" i="97"/>
  <c r="MT861" i="97"/>
  <c r="M862" i="97"/>
  <c r="Z862" i="97"/>
  <c r="AH862" i="97"/>
  <c r="AP862" i="97"/>
  <c r="AX862" i="97"/>
  <c r="BF862" i="97"/>
  <c r="BN862" i="97"/>
  <c r="BV862" i="97"/>
  <c r="CD862" i="97"/>
  <c r="CL862" i="97"/>
  <c r="CT862" i="97"/>
  <c r="DB862" i="97"/>
  <c r="DJ862" i="97"/>
  <c r="DR862" i="97"/>
  <c r="DZ862" i="97"/>
  <c r="EH862" i="97"/>
  <c r="EP862" i="97"/>
  <c r="EX862" i="97"/>
  <c r="FF862" i="97"/>
  <c r="FN862" i="97"/>
  <c r="FV862" i="97"/>
  <c r="GG862" i="97"/>
  <c r="GQ862" i="97"/>
  <c r="HB862" i="97"/>
  <c r="HM862" i="97"/>
  <c r="HW862" i="97"/>
  <c r="IH862" i="97"/>
  <c r="IS862" i="97"/>
  <c r="JC862" i="97"/>
  <c r="JN862" i="97"/>
  <c r="JY862" i="97"/>
  <c r="KI862" i="97"/>
  <c r="KT862" i="97"/>
  <c r="LE862" i="97"/>
  <c r="LO862" i="97"/>
  <c r="LZ862" i="97"/>
  <c r="MK862" i="97"/>
  <c r="EP863" i="97"/>
  <c r="IH863" i="97"/>
  <c r="IS863" i="97"/>
  <c r="JC863" i="97"/>
  <c r="JN863" i="97"/>
  <c r="JY863" i="97"/>
  <c r="KI863" i="97"/>
  <c r="KT863" i="97"/>
  <c r="A864" i="97"/>
  <c r="MP864" i="97"/>
  <c r="MK864" i="97"/>
  <c r="FA864" i="97"/>
  <c r="AP864" i="97"/>
  <c r="II864" i="97"/>
  <c r="IT864" i="97"/>
  <c r="JE864" i="97"/>
  <c r="JO864" i="97"/>
  <c r="JZ864" i="97"/>
  <c r="KK864" i="97"/>
  <c r="KU864" i="97"/>
  <c r="LF864" i="97"/>
  <c r="MH864" i="97"/>
  <c r="MS864" i="97"/>
  <c r="AA865" i="97"/>
  <c r="AL865" i="97"/>
  <c r="AW865" i="97"/>
  <c r="BG865" i="97"/>
  <c r="BR865" i="97"/>
  <c r="CC865" i="97"/>
  <c r="CM865" i="97"/>
  <c r="CX865" i="97"/>
  <c r="DI865" i="97"/>
  <c r="DS865" i="97"/>
  <c r="ED865" i="97"/>
  <c r="EO865" i="97"/>
  <c r="EY865" i="97"/>
  <c r="FJ865" i="97"/>
  <c r="FU865" i="97"/>
  <c r="GE865" i="97"/>
  <c r="GP865" i="97"/>
  <c r="HA865" i="97"/>
  <c r="HK865" i="97"/>
  <c r="HV865" i="97"/>
  <c r="IG865" i="97"/>
  <c r="IQ865" i="97"/>
  <c r="JB865" i="97"/>
  <c r="JM865" i="97"/>
  <c r="JW865" i="97"/>
  <c r="KH865" i="97"/>
  <c r="KS865" i="97"/>
  <c r="LC865" i="97"/>
  <c r="LN865" i="97"/>
  <c r="LY865" i="97"/>
  <c r="MI865" i="97"/>
  <c r="MT865" i="97"/>
  <c r="AA866" i="97"/>
  <c r="AL866" i="97"/>
  <c r="AW866" i="97"/>
  <c r="BG866" i="97"/>
  <c r="BR866" i="97"/>
  <c r="CC866" i="97"/>
  <c r="CM866" i="97"/>
  <c r="CX866" i="97"/>
  <c r="DI866" i="97"/>
  <c r="DS866" i="97"/>
  <c r="ED866" i="97"/>
  <c r="EO866" i="97"/>
  <c r="EY866" i="97"/>
  <c r="FJ866" i="97"/>
  <c r="FU866" i="97"/>
  <c r="GE866" i="97"/>
  <c r="GP866" i="97"/>
  <c r="HA866" i="97"/>
  <c r="HK866" i="97"/>
  <c r="HV866" i="97"/>
  <c r="IG866" i="97"/>
  <c r="IQ866" i="97"/>
  <c r="JB866" i="97"/>
  <c r="JM866" i="97"/>
  <c r="JW866" i="97"/>
  <c r="KH866" i="97"/>
  <c r="KS866" i="97"/>
  <c r="LC866" i="97"/>
  <c r="LN866" i="97"/>
  <c r="LY866" i="97"/>
  <c r="MI866" i="97"/>
  <c r="MT866" i="97"/>
  <c r="L867" i="97"/>
  <c r="M867" i="97" s="1"/>
  <c r="IX867" i="97"/>
  <c r="JS867" i="97"/>
  <c r="KO867" i="97"/>
  <c r="L870" i="97"/>
  <c r="MT868" i="97"/>
  <c r="MN868" i="97"/>
  <c r="MI868" i="97"/>
  <c r="GE868" i="97"/>
  <c r="FZ868" i="97"/>
  <c r="ED868" i="97"/>
  <c r="X868" i="97"/>
  <c r="AE868" i="97"/>
  <c r="AM868" i="97"/>
  <c r="AT868" i="97"/>
  <c r="AZ868" i="97"/>
  <c r="BH868" i="97"/>
  <c r="BO868" i="97"/>
  <c r="BV868" i="97"/>
  <c r="CD868" i="97"/>
  <c r="CJ868" i="97"/>
  <c r="CQ868" i="97"/>
  <c r="CY868" i="97"/>
  <c r="DF868" i="97"/>
  <c r="DL868" i="97"/>
  <c r="DT868" i="97"/>
  <c r="EA868" i="97"/>
  <c r="EH868" i="97"/>
  <c r="EP868" i="97"/>
  <c r="EV868" i="97"/>
  <c r="FC868" i="97"/>
  <c r="FK868" i="97"/>
  <c r="FR868" i="97"/>
  <c r="FX868" i="97"/>
  <c r="GF868" i="97"/>
  <c r="GM868" i="97"/>
  <c r="GT868" i="97"/>
  <c r="HB868" i="97"/>
  <c r="HH868" i="97"/>
  <c r="HO868" i="97"/>
  <c r="HW868" i="97"/>
  <c r="LJ868" i="97"/>
  <c r="LP868" i="97"/>
  <c r="LW868" i="97"/>
  <c r="ME868" i="97"/>
  <c r="ML868" i="97"/>
  <c r="MR868" i="97"/>
  <c r="L869" i="97"/>
  <c r="M869" i="97" s="1"/>
  <c r="LC869" i="97"/>
  <c r="KX869" i="97"/>
  <c r="KR869" i="97"/>
  <c r="KM869" i="97"/>
  <c r="KH869" i="97"/>
  <c r="KB869" i="97"/>
  <c r="JW869" i="97"/>
  <c r="JR869" i="97"/>
  <c r="JL869" i="97"/>
  <c r="JG869" i="97"/>
  <c r="JB869" i="97"/>
  <c r="IV869" i="97"/>
  <c r="IQ869" i="97"/>
  <c r="IL869" i="97"/>
  <c r="IF869" i="97"/>
  <c r="IH869" i="97"/>
  <c r="IN869" i="97"/>
  <c r="IU869" i="97"/>
  <c r="JC869" i="97"/>
  <c r="JJ869" i="97"/>
  <c r="JP869" i="97"/>
  <c r="JX869" i="97"/>
  <c r="KE869" i="97"/>
  <c r="KL869" i="97"/>
  <c r="KT869" i="97"/>
  <c r="KZ869" i="97"/>
  <c r="MJ869" i="97"/>
  <c r="MQ869" i="97"/>
  <c r="GD871" i="97"/>
  <c r="FX871" i="97"/>
  <c r="EH871" i="97"/>
  <c r="GF871" i="97"/>
  <c r="GA871" i="97"/>
  <c r="EE871" i="97"/>
  <c r="GE871" i="97"/>
  <c r="ED871" i="97"/>
  <c r="X871" i="97"/>
  <c r="AN871" i="97"/>
  <c r="BB871" i="97"/>
  <c r="BO871" i="97"/>
  <c r="CE871" i="97"/>
  <c r="CR871" i="97"/>
  <c r="DF871" i="97"/>
  <c r="DV871" i="97"/>
  <c r="EI871" i="97"/>
  <c r="EV871" i="97"/>
  <c r="FL871" i="97"/>
  <c r="FZ871" i="97"/>
  <c r="GM871" i="97"/>
  <c r="HC871" i="97"/>
  <c r="HP871" i="97"/>
  <c r="LK871" i="97"/>
  <c r="MD872" i="97"/>
  <c r="LZ872" i="97"/>
  <c r="LV872" i="97"/>
  <c r="LR872" i="97"/>
  <c r="HV872" i="97"/>
  <c r="HR872" i="97"/>
  <c r="HN872" i="97"/>
  <c r="HJ872" i="97"/>
  <c r="HF872" i="97"/>
  <c r="HB872" i="97"/>
  <c r="GX872" i="97"/>
  <c r="GT872" i="97"/>
  <c r="GP872" i="97"/>
  <c r="GL872" i="97"/>
  <c r="GH872" i="97"/>
  <c r="LX872" i="97"/>
  <c r="HT872" i="97"/>
  <c r="HL872" i="97"/>
  <c r="HD872" i="97"/>
  <c r="GV872" i="97"/>
  <c r="GN872" i="97"/>
  <c r="MI872" i="97"/>
  <c r="LW872" i="97"/>
  <c r="HP872" i="97"/>
  <c r="HG872" i="97"/>
  <c r="GU872" i="97"/>
  <c r="GJ872" i="97"/>
  <c r="MM872" i="97"/>
  <c r="MB872" i="97"/>
  <c r="LS872" i="97"/>
  <c r="HW872" i="97"/>
  <c r="HK872" i="97"/>
  <c r="GZ872" i="97"/>
  <c r="GQ872" i="97"/>
  <c r="ME872" i="97"/>
  <c r="HS872" i="97"/>
  <c r="GY872" i="97"/>
  <c r="HC872" i="97"/>
  <c r="MA872" i="97"/>
  <c r="A858" i="97"/>
  <c r="B890" i="97"/>
  <c r="F890" i="97"/>
  <c r="E890" i="97"/>
  <c r="M858" i="97"/>
  <c r="LG858" i="97"/>
  <c r="LK858" i="97"/>
  <c r="A859" i="97"/>
  <c r="LG859" i="97"/>
  <c r="LK859" i="97"/>
  <c r="A860" i="97"/>
  <c r="LG860" i="97"/>
  <c r="LK860" i="97"/>
  <c r="A861" i="97"/>
  <c r="LG861" i="97"/>
  <c r="LK861" i="97"/>
  <c r="A862" i="97"/>
  <c r="LH863" i="97"/>
  <c r="Z863" i="97"/>
  <c r="AE863" i="97"/>
  <c r="AK863" i="97"/>
  <c r="AP863" i="97"/>
  <c r="AU863" i="97"/>
  <c r="BA863" i="97"/>
  <c r="BF863" i="97"/>
  <c r="BK863" i="97"/>
  <c r="BQ863" i="97"/>
  <c r="BV863" i="97"/>
  <c r="CA863" i="97"/>
  <c r="CG863" i="97"/>
  <c r="CL863" i="97"/>
  <c r="CQ863" i="97"/>
  <c r="CW863" i="97"/>
  <c r="DB863" i="97"/>
  <c r="DG863" i="97"/>
  <c r="DM863" i="97"/>
  <c r="DR863" i="97"/>
  <c r="DW863" i="97"/>
  <c r="EC863" i="97"/>
  <c r="EH863" i="97"/>
  <c r="EM863" i="97"/>
  <c r="ES863" i="97"/>
  <c r="EX863" i="97"/>
  <c r="FC863" i="97"/>
  <c r="FI863" i="97"/>
  <c r="FN863" i="97"/>
  <c r="FS863" i="97"/>
  <c r="FY863" i="97"/>
  <c r="GD863" i="97"/>
  <c r="GI863" i="97"/>
  <c r="GO863" i="97"/>
  <c r="GT863" i="97"/>
  <c r="GY863" i="97"/>
  <c r="HE863" i="97"/>
  <c r="HJ863" i="97"/>
  <c r="HO863" i="97"/>
  <c r="HU863" i="97"/>
  <c r="HZ863" i="97"/>
  <c r="IE863" i="97"/>
  <c r="IK863" i="97"/>
  <c r="IP863" i="97"/>
  <c r="IU863" i="97"/>
  <c r="JA863" i="97"/>
  <c r="JF863" i="97"/>
  <c r="JK863" i="97"/>
  <c r="JQ863" i="97"/>
  <c r="JV863" i="97"/>
  <c r="KA863" i="97"/>
  <c r="KG863" i="97"/>
  <c r="KL863" i="97"/>
  <c r="KQ863" i="97"/>
  <c r="KW863" i="97"/>
  <c r="LB863" i="97"/>
  <c r="LG863" i="97"/>
  <c r="LM863" i="97"/>
  <c r="LR863" i="97"/>
  <c r="LW863" i="97"/>
  <c r="MC863" i="97"/>
  <c r="MH863" i="97"/>
  <c r="MM863" i="97"/>
  <c r="MR864" i="97"/>
  <c r="MN864" i="97"/>
  <c r="MJ864" i="97"/>
  <c r="MF864" i="97"/>
  <c r="MB864" i="97"/>
  <c r="LX864" i="97"/>
  <c r="LT864" i="97"/>
  <c r="LP864" i="97"/>
  <c r="LL864" i="97"/>
  <c r="LD864" i="97"/>
  <c r="KZ864" i="97"/>
  <c r="KV864" i="97"/>
  <c r="KR864" i="97"/>
  <c r="KN864" i="97"/>
  <c r="KJ864" i="97"/>
  <c r="KF864" i="97"/>
  <c r="KB864" i="97"/>
  <c r="JX864" i="97"/>
  <c r="JT864" i="97"/>
  <c r="JP864" i="97"/>
  <c r="JL864" i="97"/>
  <c r="JH864" i="97"/>
  <c r="JD864" i="97"/>
  <c r="IZ864" i="97"/>
  <c r="IV864" i="97"/>
  <c r="IR864" i="97"/>
  <c r="IN864" i="97"/>
  <c r="IJ864" i="97"/>
  <c r="IF864" i="97"/>
  <c r="IB864" i="97"/>
  <c r="HX864" i="97"/>
  <c r="HT864" i="97"/>
  <c r="HP864" i="97"/>
  <c r="HL864" i="97"/>
  <c r="HH864" i="97"/>
  <c r="HD864" i="97"/>
  <c r="GZ864" i="97"/>
  <c r="GV864" i="97"/>
  <c r="GR864" i="97"/>
  <c r="GN864" i="97"/>
  <c r="GJ864" i="97"/>
  <c r="GF864" i="97"/>
  <c r="GB864" i="97"/>
  <c r="FX864" i="97"/>
  <c r="FT864" i="97"/>
  <c r="FP864" i="97"/>
  <c r="FL864" i="97"/>
  <c r="FH864" i="97"/>
  <c r="FD864" i="97"/>
  <c r="EZ864" i="97"/>
  <c r="EV864" i="97"/>
  <c r="ER864" i="97"/>
  <c r="EN864" i="97"/>
  <c r="EJ864" i="97"/>
  <c r="EF864" i="97"/>
  <c r="EB864" i="97"/>
  <c r="DX864" i="97"/>
  <c r="DT864" i="97"/>
  <c r="DP864" i="97"/>
  <c r="DL864" i="97"/>
  <c r="DH864" i="97"/>
  <c r="DD864" i="97"/>
  <c r="CZ864" i="97"/>
  <c r="CV864" i="97"/>
  <c r="CR864" i="97"/>
  <c r="CN864" i="97"/>
  <c r="CJ864" i="97"/>
  <c r="CF864" i="97"/>
  <c r="CB864" i="97"/>
  <c r="BX864" i="97"/>
  <c r="BT864" i="97"/>
  <c r="BP864" i="97"/>
  <c r="BL864" i="97"/>
  <c r="BH864" i="97"/>
  <c r="BD864" i="97"/>
  <c r="AZ864" i="97"/>
  <c r="AV864" i="97"/>
  <c r="AR864" i="97"/>
  <c r="AN864" i="97"/>
  <c r="AJ864" i="97"/>
  <c r="AF864" i="97"/>
  <c r="AB864" i="97"/>
  <c r="X864" i="97"/>
  <c r="AA864" i="97"/>
  <c r="AG864" i="97"/>
  <c r="AL864" i="97"/>
  <c r="AQ864" i="97"/>
  <c r="AW864" i="97"/>
  <c r="BB864" i="97"/>
  <c r="BG864" i="97"/>
  <c r="BM864" i="97"/>
  <c r="BR864" i="97"/>
  <c r="BW864" i="97"/>
  <c r="CC864" i="97"/>
  <c r="CH864" i="97"/>
  <c r="CM864" i="97"/>
  <c r="CS864" i="97"/>
  <c r="CX864" i="97"/>
  <c r="DC864" i="97"/>
  <c r="DI864" i="97"/>
  <c r="DN864" i="97"/>
  <c r="DS864" i="97"/>
  <c r="DY864" i="97"/>
  <c r="ED864" i="97"/>
  <c r="EI864" i="97"/>
  <c r="EO864" i="97"/>
  <c r="ET864" i="97"/>
  <c r="EY864" i="97"/>
  <c r="FE864" i="97"/>
  <c r="FJ864" i="97"/>
  <c r="FO864" i="97"/>
  <c r="FU864" i="97"/>
  <c r="FZ864" i="97"/>
  <c r="GE864" i="97"/>
  <c r="GK864" i="97"/>
  <c r="GP864" i="97"/>
  <c r="GU864" i="97"/>
  <c r="HA864" i="97"/>
  <c r="HF864" i="97"/>
  <c r="HK864" i="97"/>
  <c r="HQ864" i="97"/>
  <c r="HV864" i="97"/>
  <c r="IA864" i="97"/>
  <c r="IG864" i="97"/>
  <c r="IL864" i="97"/>
  <c r="IQ864" i="97"/>
  <c r="IW864" i="97"/>
  <c r="JB864" i="97"/>
  <c r="JG864" i="97"/>
  <c r="JM864" i="97"/>
  <c r="JR864" i="97"/>
  <c r="JW864" i="97"/>
  <c r="KC864" i="97"/>
  <c r="KH864" i="97"/>
  <c r="KM864" i="97"/>
  <c r="KS864" i="97"/>
  <c r="KX864" i="97"/>
  <c r="LC864" i="97"/>
  <c r="LI864" i="97"/>
  <c r="LN864" i="97"/>
  <c r="LS864" i="97"/>
  <c r="LY864" i="97"/>
  <c r="MD864" i="97"/>
  <c r="MI864" i="97"/>
  <c r="MO864" i="97"/>
  <c r="MT864" i="97"/>
  <c r="Z867" i="97"/>
  <c r="AE867" i="97"/>
  <c r="AK867" i="97"/>
  <c r="AP867" i="97"/>
  <c r="AU867" i="97"/>
  <c r="BA867" i="97"/>
  <c r="BF867" i="97"/>
  <c r="BK867" i="97"/>
  <c r="BQ867" i="97"/>
  <c r="BV867" i="97"/>
  <c r="CA867" i="97"/>
  <c r="CG867" i="97"/>
  <c r="CL867" i="97"/>
  <c r="CQ867" i="97"/>
  <c r="CW867" i="97"/>
  <c r="DB867" i="97"/>
  <c r="DG867" i="97"/>
  <c r="DM867" i="97"/>
  <c r="DR867" i="97"/>
  <c r="DW867" i="97"/>
  <c r="EC867" i="97"/>
  <c r="EH867" i="97"/>
  <c r="EM867" i="97"/>
  <c r="ES867" i="97"/>
  <c r="EX867" i="97"/>
  <c r="FC867" i="97"/>
  <c r="FI867" i="97"/>
  <c r="FN867" i="97"/>
  <c r="FS867" i="97"/>
  <c r="FY867" i="97"/>
  <c r="GD867" i="97"/>
  <c r="GI867" i="97"/>
  <c r="GO867" i="97"/>
  <c r="GT867" i="97"/>
  <c r="GY867" i="97"/>
  <c r="HE867" i="97"/>
  <c r="HJ867" i="97"/>
  <c r="HO867" i="97"/>
  <c r="HU867" i="97"/>
  <c r="HZ867" i="97"/>
  <c r="IE867" i="97"/>
  <c r="IK867" i="97"/>
  <c r="IP867" i="97"/>
  <c r="IU867" i="97"/>
  <c r="JA867" i="97"/>
  <c r="JF867" i="97"/>
  <c r="JK867" i="97"/>
  <c r="JQ867" i="97"/>
  <c r="JV867" i="97"/>
  <c r="KA867" i="97"/>
  <c r="KG867" i="97"/>
  <c r="KL867" i="97"/>
  <c r="KQ867" i="97"/>
  <c r="KY867" i="97"/>
  <c r="LF867" i="97"/>
  <c r="LL867" i="97"/>
  <c r="LT867" i="97"/>
  <c r="MA867" i="97"/>
  <c r="MH867" i="97"/>
  <c r="LI868" i="97"/>
  <c r="LN868" i="97"/>
  <c r="LH868" i="97"/>
  <c r="FT868" i="97"/>
  <c r="FO868" i="97"/>
  <c r="FJ868" i="97"/>
  <c r="FD868" i="97"/>
  <c r="EY868" i="97"/>
  <c r="ET868" i="97"/>
  <c r="EN868" i="97"/>
  <c r="EI868" i="97"/>
  <c r="DX868" i="97"/>
  <c r="DS868" i="97"/>
  <c r="DN868" i="97"/>
  <c r="DH868" i="97"/>
  <c r="DC868" i="97"/>
  <c r="CX868" i="97"/>
  <c r="CR868" i="97"/>
  <c r="CM868" i="97"/>
  <c r="CH868" i="97"/>
  <c r="CB868" i="97"/>
  <c r="BW868" i="97"/>
  <c r="BR868" i="97"/>
  <c r="BL868" i="97"/>
  <c r="BG868" i="97"/>
  <c r="BB868" i="97"/>
  <c r="AV868" i="97"/>
  <c r="AQ868" i="97"/>
  <c r="AL868" i="97"/>
  <c r="AF868" i="97"/>
  <c r="AA868" i="97"/>
  <c r="Z868" i="97"/>
  <c r="AH868" i="97"/>
  <c r="AN868" i="97"/>
  <c r="AU868" i="97"/>
  <c r="BC868" i="97"/>
  <c r="BJ868" i="97"/>
  <c r="BP868" i="97"/>
  <c r="BX868" i="97"/>
  <c r="CE868" i="97"/>
  <c r="CL868" i="97"/>
  <c r="CT868" i="97"/>
  <c r="CZ868" i="97"/>
  <c r="DG868" i="97"/>
  <c r="DO868" i="97"/>
  <c r="DV868" i="97"/>
  <c r="EB868" i="97"/>
  <c r="EJ868" i="97"/>
  <c r="EQ868" i="97"/>
  <c r="EX868" i="97"/>
  <c r="FF868" i="97"/>
  <c r="FL868" i="97"/>
  <c r="FS868" i="97"/>
  <c r="GA868" i="97"/>
  <c r="GH868" i="97"/>
  <c r="GN868" i="97"/>
  <c r="GV868" i="97"/>
  <c r="HC868" i="97"/>
  <c r="HJ868" i="97"/>
  <c r="HR868" i="97"/>
  <c r="HX868" i="97"/>
  <c r="LK868" i="97"/>
  <c r="LR868" i="97"/>
  <c r="LZ868" i="97"/>
  <c r="MF868" i="97"/>
  <c r="MM868" i="97"/>
  <c r="A869" i="97"/>
  <c r="MR869" i="97"/>
  <c r="MN869" i="97"/>
  <c r="MI869" i="97"/>
  <c r="GE869" i="97"/>
  <c r="FZ869" i="97"/>
  <c r="ED869" i="97"/>
  <c r="X869" i="97"/>
  <c r="AE869" i="97"/>
  <c r="AM869" i="97"/>
  <c r="AT869" i="97"/>
  <c r="AZ869" i="97"/>
  <c r="BH869" i="97"/>
  <c r="BO869" i="97"/>
  <c r="BV869" i="97"/>
  <c r="CD869" i="97"/>
  <c r="CJ869" i="97"/>
  <c r="CQ869" i="97"/>
  <c r="CY869" i="97"/>
  <c r="DF869" i="97"/>
  <c r="DL869" i="97"/>
  <c r="DT869" i="97"/>
  <c r="EA869" i="97"/>
  <c r="EH869" i="97"/>
  <c r="EP869" i="97"/>
  <c r="EV869" i="97"/>
  <c r="FC869" i="97"/>
  <c r="FK869" i="97"/>
  <c r="FR869" i="97"/>
  <c r="FX869" i="97"/>
  <c r="GF869" i="97"/>
  <c r="GM869" i="97"/>
  <c r="GT869" i="97"/>
  <c r="HB869" i="97"/>
  <c r="HH869" i="97"/>
  <c r="HO869" i="97"/>
  <c r="HW869" i="97"/>
  <c r="II869" i="97"/>
  <c r="IP869" i="97"/>
  <c r="IX869" i="97"/>
  <c r="JD869" i="97"/>
  <c r="JK869" i="97"/>
  <c r="JS869" i="97"/>
  <c r="JZ869" i="97"/>
  <c r="KF869" i="97"/>
  <c r="KN869" i="97"/>
  <c r="KU869" i="97"/>
  <c r="LB869" i="97"/>
  <c r="LJ869" i="97"/>
  <c r="LP869" i="97"/>
  <c r="LW869" i="97"/>
  <c r="ML869" i="97"/>
  <c r="MT869" i="97"/>
  <c r="AA870" i="97"/>
  <c r="AN870" i="97"/>
  <c r="BB870" i="97"/>
  <c r="BR870" i="97"/>
  <c r="CE870" i="97"/>
  <c r="CR870" i="97"/>
  <c r="DH870" i="97"/>
  <c r="DV870" i="97"/>
  <c r="EI870" i="97"/>
  <c r="EY870" i="97"/>
  <c r="AD871" i="97"/>
  <c r="AQ871" i="97"/>
  <c r="BD871" i="97"/>
  <c r="BT871" i="97"/>
  <c r="CH871" i="97"/>
  <c r="CU871" i="97"/>
  <c r="DK871" i="97"/>
  <c r="DX871" i="97"/>
  <c r="EL871" i="97"/>
  <c r="FB871" i="97"/>
  <c r="FO871" i="97"/>
  <c r="GB871" i="97"/>
  <c r="GR871" i="97"/>
  <c r="HF871" i="97"/>
  <c r="HS871" i="97"/>
  <c r="LR871" i="97"/>
  <c r="LG872" i="97"/>
  <c r="AL872" i="97"/>
  <c r="BG872" i="97"/>
  <c r="BZ872" i="97"/>
  <c r="CQ872" i="97"/>
  <c r="DL872" i="97"/>
  <c r="ED872" i="97"/>
  <c r="GI872" i="97"/>
  <c r="HH872" i="97"/>
  <c r="MJ872" i="97"/>
  <c r="LF873" i="97"/>
  <c r="LB873" i="97"/>
  <c r="KX873" i="97"/>
  <c r="KT873" i="97"/>
  <c r="KP873" i="97"/>
  <c r="KL873" i="97"/>
  <c r="KH873" i="97"/>
  <c r="KD873" i="97"/>
  <c r="JZ873" i="97"/>
  <c r="JV873" i="97"/>
  <c r="JR873" i="97"/>
  <c r="JN873" i="97"/>
  <c r="JJ873" i="97"/>
  <c r="JF873" i="97"/>
  <c r="JB873" i="97"/>
  <c r="IX873" i="97"/>
  <c r="IT873" i="97"/>
  <c r="IP873" i="97"/>
  <c r="IL873" i="97"/>
  <c r="IH873" i="97"/>
  <c r="KY873" i="97"/>
  <c r="KQ873" i="97"/>
  <c r="KI873" i="97"/>
  <c r="KA873" i="97"/>
  <c r="JS873" i="97"/>
  <c r="JK873" i="97"/>
  <c r="JC873" i="97"/>
  <c r="IU873" i="97"/>
  <c r="IM873" i="97"/>
  <c r="IE873" i="97"/>
  <c r="LD873" i="97"/>
  <c r="KU873" i="97"/>
  <c r="KJ873" i="97"/>
  <c r="JX873" i="97"/>
  <c r="JO873" i="97"/>
  <c r="JD873" i="97"/>
  <c r="IR873" i="97"/>
  <c r="II873" i="97"/>
  <c r="KZ873" i="97"/>
  <c r="KN873" i="97"/>
  <c r="KE873" i="97"/>
  <c r="JT873" i="97"/>
  <c r="JH873" i="97"/>
  <c r="IY873" i="97"/>
  <c r="IN873" i="97"/>
  <c r="KM873" i="97"/>
  <c r="JP873" i="97"/>
  <c r="IV873" i="97"/>
  <c r="LC873" i="97"/>
  <c r="KF873" i="97"/>
  <c r="JL873" i="97"/>
  <c r="IQ873" i="97"/>
  <c r="A873" i="97"/>
  <c r="IF873" i="97"/>
  <c r="JW873" i="97"/>
  <c r="LH862" i="97"/>
  <c r="LG862" i="97"/>
  <c r="MR863" i="97"/>
  <c r="MN863" i="97"/>
  <c r="MJ863" i="97"/>
  <c r="MF863" i="97"/>
  <c r="MB863" i="97"/>
  <c r="LX863" i="97"/>
  <c r="LT863" i="97"/>
  <c r="LP863" i="97"/>
  <c r="LL863" i="97"/>
  <c r="LD863" i="97"/>
  <c r="KZ863" i="97"/>
  <c r="KV863" i="97"/>
  <c r="KR863" i="97"/>
  <c r="KN863" i="97"/>
  <c r="KJ863" i="97"/>
  <c r="KF863" i="97"/>
  <c r="KB863" i="97"/>
  <c r="JX863" i="97"/>
  <c r="JT863" i="97"/>
  <c r="JP863" i="97"/>
  <c r="JL863" i="97"/>
  <c r="JH863" i="97"/>
  <c r="JD863" i="97"/>
  <c r="IZ863" i="97"/>
  <c r="IV863" i="97"/>
  <c r="IR863" i="97"/>
  <c r="IN863" i="97"/>
  <c r="IJ863" i="97"/>
  <c r="IF863" i="97"/>
  <c r="IB863" i="97"/>
  <c r="HX863" i="97"/>
  <c r="HT863" i="97"/>
  <c r="HP863" i="97"/>
  <c r="HL863" i="97"/>
  <c r="HH863" i="97"/>
  <c r="HD863" i="97"/>
  <c r="GZ863" i="97"/>
  <c r="GV863" i="97"/>
  <c r="GR863" i="97"/>
  <c r="GN863" i="97"/>
  <c r="GJ863" i="97"/>
  <c r="GF863" i="97"/>
  <c r="GB863" i="97"/>
  <c r="FX863" i="97"/>
  <c r="FT863" i="97"/>
  <c r="FP863" i="97"/>
  <c r="FL863" i="97"/>
  <c r="FH863" i="97"/>
  <c r="FD863" i="97"/>
  <c r="EZ863" i="97"/>
  <c r="EV863" i="97"/>
  <c r="ER863" i="97"/>
  <c r="EN863" i="97"/>
  <c r="EJ863" i="97"/>
  <c r="EF863" i="97"/>
  <c r="EB863" i="97"/>
  <c r="DX863" i="97"/>
  <c r="DT863" i="97"/>
  <c r="DP863" i="97"/>
  <c r="DL863" i="97"/>
  <c r="DH863" i="97"/>
  <c r="DD863" i="97"/>
  <c r="CZ863" i="97"/>
  <c r="CV863" i="97"/>
  <c r="CR863" i="97"/>
  <c r="CN863" i="97"/>
  <c r="CJ863" i="97"/>
  <c r="CF863" i="97"/>
  <c r="CB863" i="97"/>
  <c r="BX863" i="97"/>
  <c r="BT863" i="97"/>
  <c r="BP863" i="97"/>
  <c r="BL863" i="97"/>
  <c r="BH863" i="97"/>
  <c r="BD863" i="97"/>
  <c r="AZ863" i="97"/>
  <c r="AV863" i="97"/>
  <c r="AR863" i="97"/>
  <c r="AN863" i="97"/>
  <c r="AJ863" i="97"/>
  <c r="AF863" i="97"/>
  <c r="AB863" i="97"/>
  <c r="X863" i="97"/>
  <c r="AA863" i="97"/>
  <c r="AG863" i="97"/>
  <c r="AL863" i="97"/>
  <c r="AQ863" i="97"/>
  <c r="AW863" i="97"/>
  <c r="BB863" i="97"/>
  <c r="BG863" i="97"/>
  <c r="BM863" i="97"/>
  <c r="BR863" i="97"/>
  <c r="BW863" i="97"/>
  <c r="CC863" i="97"/>
  <c r="CH863" i="97"/>
  <c r="CM863" i="97"/>
  <c r="CS863" i="97"/>
  <c r="CX863" i="97"/>
  <c r="DC863" i="97"/>
  <c r="DI863" i="97"/>
  <c r="DN863" i="97"/>
  <c r="DS863" i="97"/>
  <c r="DY863" i="97"/>
  <c r="ED863" i="97"/>
  <c r="EI863" i="97"/>
  <c r="EO863" i="97"/>
  <c r="ET863" i="97"/>
  <c r="EY863" i="97"/>
  <c r="FE863" i="97"/>
  <c r="FJ863" i="97"/>
  <c r="FO863" i="97"/>
  <c r="FU863" i="97"/>
  <c r="FZ863" i="97"/>
  <c r="GE863" i="97"/>
  <c r="GK863" i="97"/>
  <c r="GP863" i="97"/>
  <c r="GU863" i="97"/>
  <c r="HA863" i="97"/>
  <c r="HF863" i="97"/>
  <c r="HK863" i="97"/>
  <c r="HQ863" i="97"/>
  <c r="HV863" i="97"/>
  <c r="IA863" i="97"/>
  <c r="IG863" i="97"/>
  <c r="IL863" i="97"/>
  <c r="IQ863" i="97"/>
  <c r="IW863" i="97"/>
  <c r="JB863" i="97"/>
  <c r="JG863" i="97"/>
  <c r="JM863" i="97"/>
  <c r="JR863" i="97"/>
  <c r="JW863" i="97"/>
  <c r="KC863" i="97"/>
  <c r="KH863" i="97"/>
  <c r="KM863" i="97"/>
  <c r="KS863" i="97"/>
  <c r="KX863" i="97"/>
  <c r="LC863" i="97"/>
  <c r="LI863" i="97"/>
  <c r="LN863" i="97"/>
  <c r="LS863" i="97"/>
  <c r="LY863" i="97"/>
  <c r="MD863" i="97"/>
  <c r="MI863" i="97"/>
  <c r="MO863" i="97"/>
  <c r="MT863" i="97"/>
  <c r="LH866" i="97"/>
  <c r="MS867" i="97"/>
  <c r="MO867" i="97"/>
  <c r="MK867" i="97"/>
  <c r="MG867" i="97"/>
  <c r="MC867" i="97"/>
  <c r="LY867" i="97"/>
  <c r="LU867" i="97"/>
  <c r="LQ867" i="97"/>
  <c r="LM867" i="97"/>
  <c r="LE867" i="97"/>
  <c r="LA867" i="97"/>
  <c r="KW867" i="97"/>
  <c r="KS867" i="97"/>
  <c r="MT867" i="97"/>
  <c r="MN867" i="97"/>
  <c r="MI867" i="97"/>
  <c r="MD867" i="97"/>
  <c r="LX867" i="97"/>
  <c r="LS867" i="97"/>
  <c r="LN867" i="97"/>
  <c r="LC867" i="97"/>
  <c r="KX867" i="97"/>
  <c r="KR867" i="97"/>
  <c r="KN867" i="97"/>
  <c r="KJ867" i="97"/>
  <c r="KF867" i="97"/>
  <c r="KB867" i="97"/>
  <c r="JX867" i="97"/>
  <c r="JT867" i="97"/>
  <c r="JP867" i="97"/>
  <c r="JL867" i="97"/>
  <c r="JH867" i="97"/>
  <c r="JD867" i="97"/>
  <c r="IZ867" i="97"/>
  <c r="IV867" i="97"/>
  <c r="IR867" i="97"/>
  <c r="IN867" i="97"/>
  <c r="IJ867" i="97"/>
  <c r="IF867" i="97"/>
  <c r="IB867" i="97"/>
  <c r="HX867" i="97"/>
  <c r="HT867" i="97"/>
  <c r="HP867" i="97"/>
  <c r="HL867" i="97"/>
  <c r="HH867" i="97"/>
  <c r="HD867" i="97"/>
  <c r="GZ867" i="97"/>
  <c r="GV867" i="97"/>
  <c r="GR867" i="97"/>
  <c r="GN867" i="97"/>
  <c r="GJ867" i="97"/>
  <c r="GF867" i="97"/>
  <c r="GB867" i="97"/>
  <c r="FX867" i="97"/>
  <c r="FT867" i="97"/>
  <c r="FP867" i="97"/>
  <c r="FL867" i="97"/>
  <c r="FH867" i="97"/>
  <c r="FD867" i="97"/>
  <c r="EZ867" i="97"/>
  <c r="EV867" i="97"/>
  <c r="ER867" i="97"/>
  <c r="EN867" i="97"/>
  <c r="EJ867" i="97"/>
  <c r="EF867" i="97"/>
  <c r="EB867" i="97"/>
  <c r="DX867" i="97"/>
  <c r="DT867" i="97"/>
  <c r="DP867" i="97"/>
  <c r="DL867" i="97"/>
  <c r="DH867" i="97"/>
  <c r="DD867" i="97"/>
  <c r="CZ867" i="97"/>
  <c r="CV867" i="97"/>
  <c r="CR867" i="97"/>
  <c r="CN867" i="97"/>
  <c r="CJ867" i="97"/>
  <c r="CF867" i="97"/>
  <c r="CB867" i="97"/>
  <c r="BX867" i="97"/>
  <c r="BT867" i="97"/>
  <c r="BP867" i="97"/>
  <c r="BL867" i="97"/>
  <c r="BH867" i="97"/>
  <c r="BD867" i="97"/>
  <c r="AZ867" i="97"/>
  <c r="AV867" i="97"/>
  <c r="AR867" i="97"/>
  <c r="AN867" i="97"/>
  <c r="AJ867" i="97"/>
  <c r="AF867" i="97"/>
  <c r="AB867" i="97"/>
  <c r="X867" i="97"/>
  <c r="AA867" i="97"/>
  <c r="AG867" i="97"/>
  <c r="AL867" i="97"/>
  <c r="AQ867" i="97"/>
  <c r="AW867" i="97"/>
  <c r="BB867" i="97"/>
  <c r="BG867" i="97"/>
  <c r="BM867" i="97"/>
  <c r="BR867" i="97"/>
  <c r="BW867" i="97"/>
  <c r="CC867" i="97"/>
  <c r="CH867" i="97"/>
  <c r="CM867" i="97"/>
  <c r="CS867" i="97"/>
  <c r="CX867" i="97"/>
  <c r="DC867" i="97"/>
  <c r="DI867" i="97"/>
  <c r="DN867" i="97"/>
  <c r="DS867" i="97"/>
  <c r="DY867" i="97"/>
  <c r="ED867" i="97"/>
  <c r="EI867" i="97"/>
  <c r="EO867" i="97"/>
  <c r="ET867" i="97"/>
  <c r="EY867" i="97"/>
  <c r="FE867" i="97"/>
  <c r="FJ867" i="97"/>
  <c r="FO867" i="97"/>
  <c r="FU867" i="97"/>
  <c r="FZ867" i="97"/>
  <c r="GE867" i="97"/>
  <c r="GK867" i="97"/>
  <c r="GP867" i="97"/>
  <c r="GU867" i="97"/>
  <c r="HA867" i="97"/>
  <c r="HF867" i="97"/>
  <c r="HK867" i="97"/>
  <c r="HQ867" i="97"/>
  <c r="HV867" i="97"/>
  <c r="IA867" i="97"/>
  <c r="IG867" i="97"/>
  <c r="IL867" i="97"/>
  <c r="IQ867" i="97"/>
  <c r="IW867" i="97"/>
  <c r="JB867" i="97"/>
  <c r="JG867" i="97"/>
  <c r="JM867" i="97"/>
  <c r="JR867" i="97"/>
  <c r="JW867" i="97"/>
  <c r="KC867" i="97"/>
  <c r="KH867" i="97"/>
  <c r="KM867" i="97"/>
  <c r="KT867" i="97"/>
  <c r="KZ867" i="97"/>
  <c r="LG867" i="97"/>
  <c r="LO867" i="97"/>
  <c r="LV867" i="97"/>
  <c r="MB867" i="97"/>
  <c r="MJ867" i="97"/>
  <c r="MQ867" i="97"/>
  <c r="MS868" i="97"/>
  <c r="MD868" i="97"/>
  <c r="AB868" i="97"/>
  <c r="AI868" i="97"/>
  <c r="AP868" i="97"/>
  <c r="AX868" i="97"/>
  <c r="BD868" i="97"/>
  <c r="BK868" i="97"/>
  <c r="BS868" i="97"/>
  <c r="BZ868" i="97"/>
  <c r="CF868" i="97"/>
  <c r="CN868" i="97"/>
  <c r="CU868" i="97"/>
  <c r="DB868" i="97"/>
  <c r="DJ868" i="97"/>
  <c r="DP868" i="97"/>
  <c r="DW868" i="97"/>
  <c r="EE868" i="97"/>
  <c r="EL868" i="97"/>
  <c r="ER868" i="97"/>
  <c r="EZ868" i="97"/>
  <c r="FG868" i="97"/>
  <c r="FN868" i="97"/>
  <c r="FV868" i="97"/>
  <c r="GB868" i="97"/>
  <c r="GI868" i="97"/>
  <c r="GQ868" i="97"/>
  <c r="GX868" i="97"/>
  <c r="HD868" i="97"/>
  <c r="HL868" i="97"/>
  <c r="HS868" i="97"/>
  <c r="LL868" i="97"/>
  <c r="LT868" i="97"/>
  <c r="MA868" i="97"/>
  <c r="MH868" i="97"/>
  <c r="MP868" i="97"/>
  <c r="LI869" i="97"/>
  <c r="LN869" i="97"/>
  <c r="LH869" i="97"/>
  <c r="FT869" i="97"/>
  <c r="FO869" i="97"/>
  <c r="FJ869" i="97"/>
  <c r="FD869" i="97"/>
  <c r="EY869" i="97"/>
  <c r="ET869" i="97"/>
  <c r="EN869" i="97"/>
  <c r="EI869" i="97"/>
  <c r="DX869" i="97"/>
  <c r="DS869" i="97"/>
  <c r="DN869" i="97"/>
  <c r="DH869" i="97"/>
  <c r="DC869" i="97"/>
  <c r="CX869" i="97"/>
  <c r="CR869" i="97"/>
  <c r="CM869" i="97"/>
  <c r="CH869" i="97"/>
  <c r="CB869" i="97"/>
  <c r="BW869" i="97"/>
  <c r="BR869" i="97"/>
  <c r="BL869" i="97"/>
  <c r="BG869" i="97"/>
  <c r="BB869" i="97"/>
  <c r="AV869" i="97"/>
  <c r="AQ869" i="97"/>
  <c r="AL869" i="97"/>
  <c r="AF869" i="97"/>
  <c r="AA869" i="97"/>
  <c r="Z869" i="97"/>
  <c r="AH869" i="97"/>
  <c r="AN869" i="97"/>
  <c r="AU869" i="97"/>
  <c r="BC869" i="97"/>
  <c r="BJ869" i="97"/>
  <c r="BP869" i="97"/>
  <c r="BX869" i="97"/>
  <c r="CE869" i="97"/>
  <c r="CL869" i="97"/>
  <c r="CT869" i="97"/>
  <c r="CZ869" i="97"/>
  <c r="DG869" i="97"/>
  <c r="DO869" i="97"/>
  <c r="DV869" i="97"/>
  <c r="EB869" i="97"/>
  <c r="EJ869" i="97"/>
  <c r="EQ869" i="97"/>
  <c r="EX869" i="97"/>
  <c r="FF869" i="97"/>
  <c r="FL869" i="97"/>
  <c r="FS869" i="97"/>
  <c r="GH869" i="97"/>
  <c r="GN869" i="97"/>
  <c r="GV869" i="97"/>
  <c r="HC869" i="97"/>
  <c r="HJ869" i="97"/>
  <c r="HR869" i="97"/>
  <c r="HX869" i="97"/>
  <c r="IJ869" i="97"/>
  <c r="IR869" i="97"/>
  <c r="IY869" i="97"/>
  <c r="JF869" i="97"/>
  <c r="JN869" i="97"/>
  <c r="JT869" i="97"/>
  <c r="KA869" i="97"/>
  <c r="KI869" i="97"/>
  <c r="KP869" i="97"/>
  <c r="KV869" i="97"/>
  <c r="LD869" i="97"/>
  <c r="LK869" i="97"/>
  <c r="LR869" i="97"/>
  <c r="LZ869" i="97"/>
  <c r="MF869" i="97"/>
  <c r="LI870" i="97"/>
  <c r="LL870" i="97"/>
  <c r="LG870" i="97"/>
  <c r="FS870" i="97"/>
  <c r="FN870" i="97"/>
  <c r="FH870" i="97"/>
  <c r="FC870" i="97"/>
  <c r="EX870" i="97"/>
  <c r="ER870" i="97"/>
  <c r="EM870" i="97"/>
  <c r="EB870" i="97"/>
  <c r="DW870" i="97"/>
  <c r="DR870" i="97"/>
  <c r="DL870" i="97"/>
  <c r="DG870" i="97"/>
  <c r="DB870" i="97"/>
  <c r="CV870" i="97"/>
  <c r="CQ870" i="97"/>
  <c r="CL870" i="97"/>
  <c r="CF870" i="97"/>
  <c r="CA870" i="97"/>
  <c r="BV870" i="97"/>
  <c r="BP870" i="97"/>
  <c r="BK870" i="97"/>
  <c r="BF870" i="97"/>
  <c r="AZ870" i="97"/>
  <c r="AU870" i="97"/>
  <c r="AP870" i="97"/>
  <c r="AJ870" i="97"/>
  <c r="AE870" i="97"/>
  <c r="Z870" i="97"/>
  <c r="LO870" i="97"/>
  <c r="LJ870" i="97"/>
  <c r="FV870" i="97"/>
  <c r="FP870" i="97"/>
  <c r="FK870" i="97"/>
  <c r="FF870" i="97"/>
  <c r="EZ870" i="97"/>
  <c r="EU870" i="97"/>
  <c r="EP870" i="97"/>
  <c r="EJ870" i="97"/>
  <c r="DZ870" i="97"/>
  <c r="DT870" i="97"/>
  <c r="DO870" i="97"/>
  <c r="DJ870" i="97"/>
  <c r="DD870" i="97"/>
  <c r="CY870" i="97"/>
  <c r="CT870" i="97"/>
  <c r="CN870" i="97"/>
  <c r="CI870" i="97"/>
  <c r="CD870" i="97"/>
  <c r="BX870" i="97"/>
  <c r="BS870" i="97"/>
  <c r="BN870" i="97"/>
  <c r="BH870" i="97"/>
  <c r="BC870" i="97"/>
  <c r="AX870" i="97"/>
  <c r="AR870" i="97"/>
  <c r="AM870" i="97"/>
  <c r="AH870" i="97"/>
  <c r="AB870" i="97"/>
  <c r="LP870" i="97"/>
  <c r="FR870" i="97"/>
  <c r="FG870" i="97"/>
  <c r="EV870" i="97"/>
  <c r="EL870" i="97"/>
  <c r="EA870" i="97"/>
  <c r="DP870" i="97"/>
  <c r="DF870" i="97"/>
  <c r="CU870" i="97"/>
  <c r="CJ870" i="97"/>
  <c r="BZ870" i="97"/>
  <c r="BO870" i="97"/>
  <c r="BD870" i="97"/>
  <c r="AT870" i="97"/>
  <c r="AI870" i="97"/>
  <c r="X870" i="97"/>
  <c r="A870" i="97"/>
  <c r="AD870" i="97"/>
  <c r="AQ870" i="97"/>
  <c r="BG870" i="97"/>
  <c r="BT870" i="97"/>
  <c r="CH870" i="97"/>
  <c r="CX870" i="97"/>
  <c r="DK870" i="97"/>
  <c r="DX870" i="97"/>
  <c r="EN870" i="97"/>
  <c r="FB870" i="97"/>
  <c r="FO870" i="97"/>
  <c r="LH870" i="97"/>
  <c r="ME871" i="97"/>
  <c r="LZ871" i="97"/>
  <c r="LT871" i="97"/>
  <c r="MA871" i="97"/>
  <c r="LS871" i="97"/>
  <c r="HT871" i="97"/>
  <c r="HO871" i="97"/>
  <c r="HJ871" i="97"/>
  <c r="HD871" i="97"/>
  <c r="GY871" i="97"/>
  <c r="GT871" i="97"/>
  <c r="GN871" i="97"/>
  <c r="GI871" i="97"/>
  <c r="MD871" i="97"/>
  <c r="LW871" i="97"/>
  <c r="HW871" i="97"/>
  <c r="HR871" i="97"/>
  <c r="HL871" i="97"/>
  <c r="HG871" i="97"/>
  <c r="HB871" i="97"/>
  <c r="GV871" i="97"/>
  <c r="GQ871" i="97"/>
  <c r="GL871" i="97"/>
  <c r="MB871" i="97"/>
  <c r="HV871" i="97"/>
  <c r="HK871" i="97"/>
  <c r="GZ871" i="97"/>
  <c r="GP871" i="97"/>
  <c r="AF871" i="97"/>
  <c r="AT871" i="97"/>
  <c r="BJ871" i="97"/>
  <c r="BW871" i="97"/>
  <c r="CJ871" i="97"/>
  <c r="CZ871" i="97"/>
  <c r="DN871" i="97"/>
  <c r="EA871" i="97"/>
  <c r="EQ871" i="97"/>
  <c r="FD871" i="97"/>
  <c r="FR871" i="97"/>
  <c r="GH871" i="97"/>
  <c r="GU871" i="97"/>
  <c r="HH871" i="97"/>
  <c r="HX871" i="97"/>
  <c r="LV871" i="97"/>
  <c r="MM871" i="97"/>
  <c r="GD872" i="97"/>
  <c r="FZ872" i="97"/>
  <c r="GF872" i="97"/>
  <c r="FX872" i="97"/>
  <c r="EE872" i="97"/>
  <c r="GA872" i="97"/>
  <c r="GE872" i="97"/>
  <c r="EF872" i="97"/>
  <c r="LK872" i="97"/>
  <c r="GB872" i="97"/>
  <c r="FG872" i="97"/>
  <c r="EM872" i="97"/>
  <c r="DW872" i="97"/>
  <c r="DH872" i="97"/>
  <c r="CU872" i="97"/>
  <c r="CF872" i="97"/>
  <c r="BR872" i="97"/>
  <c r="BD872" i="97"/>
  <c r="AP872" i="97"/>
  <c r="AA872" i="97"/>
  <c r="X872" i="97"/>
  <c r="AT872" i="97"/>
  <c r="BK872" i="97"/>
  <c r="CB872" i="97"/>
  <c r="CX872" i="97"/>
  <c r="DP872" i="97"/>
  <c r="EH872" i="97"/>
  <c r="FL872" i="97"/>
  <c r="GM872" i="97"/>
  <c r="HO872" i="97"/>
  <c r="LO872" i="97"/>
  <c r="IJ873" i="97"/>
  <c r="KB873" i="97"/>
  <c r="MI873" i="97"/>
  <c r="LI867" i="97"/>
  <c r="LH867" i="97"/>
  <c r="GJ868" i="97"/>
  <c r="GP868" i="97"/>
  <c r="GU868" i="97"/>
  <c r="GZ868" i="97"/>
  <c r="HF868" i="97"/>
  <c r="HK868" i="97"/>
  <c r="HP868" i="97"/>
  <c r="HV868" i="97"/>
  <c r="LS868" i="97"/>
  <c r="LX868" i="97"/>
  <c r="GJ869" i="97"/>
  <c r="GP869" i="97"/>
  <c r="GU869" i="97"/>
  <c r="GZ869" i="97"/>
  <c r="HF869" i="97"/>
  <c r="HK869" i="97"/>
  <c r="HP869" i="97"/>
  <c r="HV869" i="97"/>
  <c r="LS869" i="97"/>
  <c r="LX869" i="97"/>
  <c r="MR870" i="97"/>
  <c r="MM870" i="97"/>
  <c r="MH870" i="97"/>
  <c r="MP870" i="97"/>
  <c r="MJ870" i="97"/>
  <c r="M870" i="97"/>
  <c r="GD870" i="97"/>
  <c r="FX870" i="97"/>
  <c r="EH870" i="97"/>
  <c r="GF870" i="97"/>
  <c r="GA870" i="97"/>
  <c r="EE870" i="97"/>
  <c r="GB870" i="97"/>
  <c r="ML870" i="97"/>
  <c r="LI871" i="97"/>
  <c r="LO871" i="97"/>
  <c r="LJ871" i="97"/>
  <c r="LL871" i="97"/>
  <c r="FS871" i="97"/>
  <c r="FN871" i="97"/>
  <c r="FH871" i="97"/>
  <c r="FC871" i="97"/>
  <c r="EX871" i="97"/>
  <c r="ER871" i="97"/>
  <c r="EM871" i="97"/>
  <c r="EB871" i="97"/>
  <c r="DW871" i="97"/>
  <c r="DR871" i="97"/>
  <c r="DL871" i="97"/>
  <c r="DG871" i="97"/>
  <c r="DB871" i="97"/>
  <c r="CV871" i="97"/>
  <c r="CQ871" i="97"/>
  <c r="CL871" i="97"/>
  <c r="CF871" i="97"/>
  <c r="CA871" i="97"/>
  <c r="BV871" i="97"/>
  <c r="BP871" i="97"/>
  <c r="BK871" i="97"/>
  <c r="BF871" i="97"/>
  <c r="AZ871" i="97"/>
  <c r="AU871" i="97"/>
  <c r="AP871" i="97"/>
  <c r="AJ871" i="97"/>
  <c r="AE871" i="97"/>
  <c r="Z871" i="97"/>
  <c r="LP871" i="97"/>
  <c r="LH871" i="97"/>
  <c r="FV871" i="97"/>
  <c r="FP871" i="97"/>
  <c r="FK871" i="97"/>
  <c r="FF871" i="97"/>
  <c r="EZ871" i="97"/>
  <c r="EU871" i="97"/>
  <c r="EP871" i="97"/>
  <c r="EJ871" i="97"/>
  <c r="DZ871" i="97"/>
  <c r="DT871" i="97"/>
  <c r="DO871" i="97"/>
  <c r="DJ871" i="97"/>
  <c r="DD871" i="97"/>
  <c r="CY871" i="97"/>
  <c r="CT871" i="97"/>
  <c r="CN871" i="97"/>
  <c r="CI871" i="97"/>
  <c r="CD871" i="97"/>
  <c r="BX871" i="97"/>
  <c r="BS871" i="97"/>
  <c r="BN871" i="97"/>
  <c r="BH871" i="97"/>
  <c r="BC871" i="97"/>
  <c r="AX871" i="97"/>
  <c r="AR871" i="97"/>
  <c r="AM871" i="97"/>
  <c r="AH871" i="97"/>
  <c r="AB871" i="97"/>
  <c r="A871" i="97"/>
  <c r="AA871" i="97"/>
  <c r="AL871" i="97"/>
  <c r="AV871" i="97"/>
  <c r="BG871" i="97"/>
  <c r="BR871" i="97"/>
  <c r="CB871" i="97"/>
  <c r="CM871" i="97"/>
  <c r="CX871" i="97"/>
  <c r="DH871" i="97"/>
  <c r="DS871" i="97"/>
  <c r="EN871" i="97"/>
  <c r="EY871" i="97"/>
  <c r="FJ871" i="97"/>
  <c r="FT871" i="97"/>
  <c r="LN871" i="97"/>
  <c r="L872" i="97"/>
  <c r="MT873" i="97"/>
  <c r="MP873" i="97"/>
  <c r="ML873" i="97"/>
  <c r="MH873" i="97"/>
  <c r="MM873" i="97"/>
  <c r="MJ873" i="97"/>
  <c r="MQ873" i="97"/>
  <c r="MF873" i="97"/>
  <c r="MR873" i="97"/>
  <c r="AR875" i="97"/>
  <c r="CJ875" i="97"/>
  <c r="EA875" i="97"/>
  <c r="FP875" i="97"/>
  <c r="HH875" i="97"/>
  <c r="LO875" i="97"/>
  <c r="A876" i="97"/>
  <c r="MT876" i="97"/>
  <c r="MP876" i="97"/>
  <c r="ML876" i="97"/>
  <c r="MH876" i="97"/>
  <c r="MN876" i="97"/>
  <c r="MF876" i="97"/>
  <c r="MR876" i="97"/>
  <c r="MI876" i="97"/>
  <c r="MQ876" i="97"/>
  <c r="MM876" i="97"/>
  <c r="AU876" i="97"/>
  <c r="CJ876" i="97"/>
  <c r="EA876" i="97"/>
  <c r="FS876" i="97"/>
  <c r="HH876" i="97"/>
  <c r="MT877" i="97"/>
  <c r="MP877" i="97"/>
  <c r="ML877" i="97"/>
  <c r="MH877" i="97"/>
  <c r="MM877" i="97"/>
  <c r="MQ877" i="97"/>
  <c r="MI877" i="97"/>
  <c r="MR877" i="97"/>
  <c r="MN877" i="97"/>
  <c r="MJ877" i="97"/>
  <c r="AE878" i="97"/>
  <c r="CQ878" i="97"/>
  <c r="EM878" i="97"/>
  <c r="GQ878" i="97"/>
  <c r="LS878" i="97"/>
  <c r="MQ879" i="97"/>
  <c r="MI879" i="97"/>
  <c r="MN879" i="97"/>
  <c r="MF879" i="97"/>
  <c r="MM879" i="97"/>
  <c r="MR879" i="97"/>
  <c r="MJ879" i="97"/>
  <c r="MB875" i="97"/>
  <c r="BD875" i="97"/>
  <c r="CU875" i="97"/>
  <c r="EJ875" i="97"/>
  <c r="GB875" i="97"/>
  <c r="HS875" i="97"/>
  <c r="BD876" i="97"/>
  <c r="CU876" i="97"/>
  <c r="EM876" i="97"/>
  <c r="GB876" i="97"/>
  <c r="HS876" i="97"/>
  <c r="MF877" i="97"/>
  <c r="AU878" i="97"/>
  <c r="DG878" i="97"/>
  <c r="FC878" i="97"/>
  <c r="GD875" i="97"/>
  <c r="FZ875" i="97"/>
  <c r="EH875" i="97"/>
  <c r="ED875" i="97"/>
  <c r="GA875" i="97"/>
  <c r="EE875" i="97"/>
  <c r="FX875" i="97"/>
  <c r="GF875" i="97"/>
  <c r="FW875" i="97"/>
  <c r="EF875" i="97"/>
  <c r="GE875" i="97"/>
  <c r="X875" i="97"/>
  <c r="BO875" i="97"/>
  <c r="DD875" i="97"/>
  <c r="EV875" i="97"/>
  <c r="GM875" i="97"/>
  <c r="GD876" i="97"/>
  <c r="FZ876" i="97"/>
  <c r="EH876" i="97"/>
  <c r="ED876" i="97"/>
  <c r="GF876" i="97"/>
  <c r="FX876" i="97"/>
  <c r="GA876" i="97"/>
  <c r="ME876" i="97"/>
  <c r="LT876" i="97"/>
  <c r="LK876" i="97"/>
  <c r="HX876" i="97"/>
  <c r="HO876" i="97"/>
  <c r="HC876" i="97"/>
  <c r="GR876" i="97"/>
  <c r="GI876" i="97"/>
  <c r="FW876" i="97"/>
  <c r="FL876" i="97"/>
  <c r="FC876" i="97"/>
  <c r="EQ876" i="97"/>
  <c r="EF876" i="97"/>
  <c r="DW876" i="97"/>
  <c r="DK876" i="97"/>
  <c r="CZ876" i="97"/>
  <c r="CQ876" i="97"/>
  <c r="CE876" i="97"/>
  <c r="BT876" i="97"/>
  <c r="BK876" i="97"/>
  <c r="AY876" i="97"/>
  <c r="AN876" i="97"/>
  <c r="AE876" i="97"/>
  <c r="GE876" i="97"/>
  <c r="EE876" i="97"/>
  <c r="X876" i="97"/>
  <c r="BO876" i="97"/>
  <c r="DG876" i="97"/>
  <c r="EV876" i="97"/>
  <c r="GM876" i="97"/>
  <c r="MA876" i="97"/>
  <c r="LN878" i="97"/>
  <c r="LJ878" i="97"/>
  <c r="FV878" i="97"/>
  <c r="FR878" i="97"/>
  <c r="FN878" i="97"/>
  <c r="FJ878" i="97"/>
  <c r="FF878" i="97"/>
  <c r="FB878" i="97"/>
  <c r="EX878" i="97"/>
  <c r="ET878" i="97"/>
  <c r="EP878" i="97"/>
  <c r="EL878" i="97"/>
  <c r="DZ878" i="97"/>
  <c r="DV878" i="97"/>
  <c r="DR878" i="97"/>
  <c r="DN878" i="97"/>
  <c r="DJ878" i="97"/>
  <c r="DF878" i="97"/>
  <c r="DB878" i="97"/>
  <c r="CX878" i="97"/>
  <c r="CT878" i="97"/>
  <c r="CP878" i="97"/>
  <c r="CL878" i="97"/>
  <c r="CH878" i="97"/>
  <c r="CD878" i="97"/>
  <c r="BZ878" i="97"/>
  <c r="BV878" i="97"/>
  <c r="BR878" i="97"/>
  <c r="BN878" i="97"/>
  <c r="BJ878" i="97"/>
  <c r="BF878" i="97"/>
  <c r="BB878" i="97"/>
  <c r="AX878" i="97"/>
  <c r="AT878" i="97"/>
  <c r="AP878" i="97"/>
  <c r="AL878" i="97"/>
  <c r="AH878" i="97"/>
  <c r="AD878" i="97"/>
  <c r="Z878" i="97"/>
  <c r="LI878" i="97"/>
  <c r="MB878" i="97"/>
  <c r="LT878" i="97"/>
  <c r="LL878" i="97"/>
  <c r="HX878" i="97"/>
  <c r="HP878" i="97"/>
  <c r="HH878" i="97"/>
  <c r="GZ878" i="97"/>
  <c r="GR878" i="97"/>
  <c r="GJ878" i="97"/>
  <c r="FT878" i="97"/>
  <c r="FL878" i="97"/>
  <c r="FD878" i="97"/>
  <c r="EV878" i="97"/>
  <c r="EN878" i="97"/>
  <c r="DX878" i="97"/>
  <c r="DP878" i="97"/>
  <c r="DH878" i="97"/>
  <c r="CZ878" i="97"/>
  <c r="CR878" i="97"/>
  <c r="CJ878" i="97"/>
  <c r="CB878" i="97"/>
  <c r="BT878" i="97"/>
  <c r="BL878" i="97"/>
  <c r="BD878" i="97"/>
  <c r="AV878" i="97"/>
  <c r="AN878" i="97"/>
  <c r="AF878" i="97"/>
  <c r="X878" i="97"/>
  <c r="A878" i="97"/>
  <c r="LX878" i="97"/>
  <c r="LP878" i="97"/>
  <c r="LH878" i="97"/>
  <c r="HT878" i="97"/>
  <c r="HL878" i="97"/>
  <c r="HD878" i="97"/>
  <c r="GV878" i="97"/>
  <c r="GN878" i="97"/>
  <c r="FP878" i="97"/>
  <c r="FH878" i="97"/>
  <c r="EZ878" i="97"/>
  <c r="ER878" i="97"/>
  <c r="EJ878" i="97"/>
  <c r="EB878" i="97"/>
  <c r="DT878" i="97"/>
  <c r="DL878" i="97"/>
  <c r="DD878" i="97"/>
  <c r="CV878" i="97"/>
  <c r="CN878" i="97"/>
  <c r="CF878" i="97"/>
  <c r="BX878" i="97"/>
  <c r="BP878" i="97"/>
  <c r="BH878" i="97"/>
  <c r="AZ878" i="97"/>
  <c r="AR878" i="97"/>
  <c r="AJ878" i="97"/>
  <c r="AB878" i="97"/>
  <c r="ME878" i="97"/>
  <c r="LO878" i="97"/>
  <c r="HS878" i="97"/>
  <c r="HC878" i="97"/>
  <c r="GM878" i="97"/>
  <c r="FO878" i="97"/>
  <c r="EY878" i="97"/>
  <c r="EI878" i="97"/>
  <c r="DS878" i="97"/>
  <c r="DC878" i="97"/>
  <c r="CM878" i="97"/>
  <c r="BW878" i="97"/>
  <c r="BG878" i="97"/>
  <c r="AQ878" i="97"/>
  <c r="AA878" i="97"/>
  <c r="MA878" i="97"/>
  <c r="LK878" i="97"/>
  <c r="HO878" i="97"/>
  <c r="GY878" i="97"/>
  <c r="GI878" i="97"/>
  <c r="FK878" i="97"/>
  <c r="EU878" i="97"/>
  <c r="DO878" i="97"/>
  <c r="CY878" i="97"/>
  <c r="CI878" i="97"/>
  <c r="BS878" i="97"/>
  <c r="BC878" i="97"/>
  <c r="AM878" i="97"/>
  <c r="LW878" i="97"/>
  <c r="LG878" i="97"/>
  <c r="HK878" i="97"/>
  <c r="GU878" i="97"/>
  <c r="FG878" i="97"/>
  <c r="EQ878" i="97"/>
  <c r="EA878" i="97"/>
  <c r="DK878" i="97"/>
  <c r="CU878" i="97"/>
  <c r="CE878" i="97"/>
  <c r="BO878" i="97"/>
  <c r="AY878" i="97"/>
  <c r="AI878" i="97"/>
  <c r="BK878" i="97"/>
  <c r="DW878" i="97"/>
  <c r="FS878" i="97"/>
  <c r="HW878" i="97"/>
  <c r="EC882" i="97"/>
  <c r="BQ882" i="97"/>
  <c r="FY882" i="97"/>
  <c r="DM882" i="97"/>
  <c r="IH870" i="97"/>
  <c r="IM870" i="97"/>
  <c r="IR870" i="97"/>
  <c r="IX870" i="97"/>
  <c r="JC870" i="97"/>
  <c r="JH870" i="97"/>
  <c r="JN870" i="97"/>
  <c r="JS870" i="97"/>
  <c r="JX870" i="97"/>
  <c r="KD870" i="97"/>
  <c r="KI870" i="97"/>
  <c r="KN870" i="97"/>
  <c r="KT870" i="97"/>
  <c r="KY870" i="97"/>
  <c r="LD870" i="97"/>
  <c r="MP871" i="97"/>
  <c r="MJ871" i="97"/>
  <c r="M871" i="97"/>
  <c r="LD871" i="97"/>
  <c r="KY871" i="97"/>
  <c r="KT871" i="97"/>
  <c r="KN871" i="97"/>
  <c r="KI871" i="97"/>
  <c r="KD871" i="97"/>
  <c r="JX871" i="97"/>
  <c r="JS871" i="97"/>
  <c r="JN871" i="97"/>
  <c r="JH871" i="97"/>
  <c r="JC871" i="97"/>
  <c r="IH871" i="97"/>
  <c r="IM871" i="97"/>
  <c r="IR871" i="97"/>
  <c r="IX871" i="97"/>
  <c r="JD871" i="97"/>
  <c r="JK871" i="97"/>
  <c r="JR871" i="97"/>
  <c r="JZ871" i="97"/>
  <c r="KF871" i="97"/>
  <c r="KM871" i="97"/>
  <c r="KU871" i="97"/>
  <c r="LB871" i="97"/>
  <c r="ML871" i="97"/>
  <c r="MR871" i="97"/>
  <c r="AD872" i="97"/>
  <c r="AJ872" i="97"/>
  <c r="AQ872" i="97"/>
  <c r="AY872" i="97"/>
  <c r="BF872" i="97"/>
  <c r="BL872" i="97"/>
  <c r="BT872" i="97"/>
  <c r="CA872" i="97"/>
  <c r="CH872" i="97"/>
  <c r="CP872" i="97"/>
  <c r="CV872" i="97"/>
  <c r="DC872" i="97"/>
  <c r="DK872" i="97"/>
  <c r="DR872" i="97"/>
  <c r="DX872" i="97"/>
  <c r="EN872" i="97"/>
  <c r="EY872" i="97"/>
  <c r="FK872" i="97"/>
  <c r="FT872" i="97"/>
  <c r="MD873" i="97"/>
  <c r="AE873" i="97"/>
  <c r="AN873" i="97"/>
  <c r="AZ873" i="97"/>
  <c r="BK873" i="97"/>
  <c r="BT873" i="97"/>
  <c r="CF873" i="97"/>
  <c r="CQ873" i="97"/>
  <c r="CZ873" i="97"/>
  <c r="DL873" i="97"/>
  <c r="DW873" i="97"/>
  <c r="EF873" i="97"/>
  <c r="ER873" i="97"/>
  <c r="FC873" i="97"/>
  <c r="FL873" i="97"/>
  <c r="FX873" i="97"/>
  <c r="GI873" i="97"/>
  <c r="GR873" i="97"/>
  <c r="HD873" i="97"/>
  <c r="HO873" i="97"/>
  <c r="HX873" i="97"/>
  <c r="LK873" i="97"/>
  <c r="L874" i="97"/>
  <c r="M874" i="97" s="1"/>
  <c r="LF874" i="97"/>
  <c r="LB874" i="97"/>
  <c r="KX874" i="97"/>
  <c r="KT874" i="97"/>
  <c r="KP874" i="97"/>
  <c r="KL874" i="97"/>
  <c r="KH874" i="97"/>
  <c r="KD874" i="97"/>
  <c r="JZ874" i="97"/>
  <c r="JV874" i="97"/>
  <c r="JR874" i="97"/>
  <c r="JN874" i="97"/>
  <c r="JJ874" i="97"/>
  <c r="JF874" i="97"/>
  <c r="JB874" i="97"/>
  <c r="IX874" i="97"/>
  <c r="IT874" i="97"/>
  <c r="IP874" i="97"/>
  <c r="IL874" i="97"/>
  <c r="IH874" i="97"/>
  <c r="LD874" i="97"/>
  <c r="KV874" i="97"/>
  <c r="KN874" i="97"/>
  <c r="KF874" i="97"/>
  <c r="JX874" i="97"/>
  <c r="JP874" i="97"/>
  <c r="JH874" i="97"/>
  <c r="IZ874" i="97"/>
  <c r="IR874" i="97"/>
  <c r="IJ874" i="97"/>
  <c r="AI874" i="97"/>
  <c r="AR874" i="97"/>
  <c r="BC874" i="97"/>
  <c r="BO874" i="97"/>
  <c r="BX874" i="97"/>
  <c r="CI874" i="97"/>
  <c r="CU874" i="97"/>
  <c r="DD874" i="97"/>
  <c r="DO874" i="97"/>
  <c r="EA874" i="97"/>
  <c r="EJ874" i="97"/>
  <c r="EU874" i="97"/>
  <c r="FG874" i="97"/>
  <c r="FP874" i="97"/>
  <c r="GM874" i="97"/>
  <c r="GV874" i="97"/>
  <c r="HG874" i="97"/>
  <c r="HS874" i="97"/>
  <c r="IF874" i="97"/>
  <c r="IQ874" i="97"/>
  <c r="JC874" i="97"/>
  <c r="JL874" i="97"/>
  <c r="JW874" i="97"/>
  <c r="KI874" i="97"/>
  <c r="KR874" i="97"/>
  <c r="LC874" i="97"/>
  <c r="LO874" i="97"/>
  <c r="MI874" i="97"/>
  <c r="A875" i="97"/>
  <c r="MT875" i="97"/>
  <c r="MP875" i="97"/>
  <c r="ML875" i="97"/>
  <c r="MH875" i="97"/>
  <c r="MQ875" i="97"/>
  <c r="MI875" i="97"/>
  <c r="AA875" i="97"/>
  <c r="AJ875" i="97"/>
  <c r="AV875" i="97"/>
  <c r="BG875" i="97"/>
  <c r="BP875" i="97"/>
  <c r="CB875" i="97"/>
  <c r="CM875" i="97"/>
  <c r="CV875" i="97"/>
  <c r="DH875" i="97"/>
  <c r="DS875" i="97"/>
  <c r="EB875" i="97"/>
  <c r="EN875" i="97"/>
  <c r="EY875" i="97"/>
  <c r="FH875" i="97"/>
  <c r="FT875" i="97"/>
  <c r="GN875" i="97"/>
  <c r="GZ875" i="97"/>
  <c r="HK875" i="97"/>
  <c r="HT875" i="97"/>
  <c r="LG875" i="97"/>
  <c r="LP875" i="97"/>
  <c r="MM875" i="97"/>
  <c r="LN876" i="97"/>
  <c r="LJ876" i="97"/>
  <c r="FV876" i="97"/>
  <c r="FR876" i="97"/>
  <c r="FN876" i="97"/>
  <c r="FJ876" i="97"/>
  <c r="FF876" i="97"/>
  <c r="FB876" i="97"/>
  <c r="EX876" i="97"/>
  <c r="ET876" i="97"/>
  <c r="EP876" i="97"/>
  <c r="EL876" i="97"/>
  <c r="DZ876" i="97"/>
  <c r="DV876" i="97"/>
  <c r="DR876" i="97"/>
  <c r="DN876" i="97"/>
  <c r="DJ876" i="97"/>
  <c r="DF876" i="97"/>
  <c r="DB876" i="97"/>
  <c r="CX876" i="97"/>
  <c r="CT876" i="97"/>
  <c r="CP876" i="97"/>
  <c r="CL876" i="97"/>
  <c r="CH876" i="97"/>
  <c r="CD876" i="97"/>
  <c r="BZ876" i="97"/>
  <c r="BV876" i="97"/>
  <c r="BR876" i="97"/>
  <c r="BN876" i="97"/>
  <c r="BJ876" i="97"/>
  <c r="BF876" i="97"/>
  <c r="BB876" i="97"/>
  <c r="AX876" i="97"/>
  <c r="AT876" i="97"/>
  <c r="AP876" i="97"/>
  <c r="AL876" i="97"/>
  <c r="AH876" i="97"/>
  <c r="AD876" i="97"/>
  <c r="Z876" i="97"/>
  <c r="LI876" i="97"/>
  <c r="LX876" i="97"/>
  <c r="LP876" i="97"/>
  <c r="LH876" i="97"/>
  <c r="HT876" i="97"/>
  <c r="HL876" i="97"/>
  <c r="HD876" i="97"/>
  <c r="GV876" i="97"/>
  <c r="GN876" i="97"/>
  <c r="FP876" i="97"/>
  <c r="FH876" i="97"/>
  <c r="EZ876" i="97"/>
  <c r="ER876" i="97"/>
  <c r="EJ876" i="97"/>
  <c r="EB876" i="97"/>
  <c r="DT876" i="97"/>
  <c r="DL876" i="97"/>
  <c r="DD876" i="97"/>
  <c r="CV876" i="97"/>
  <c r="CN876" i="97"/>
  <c r="CF876" i="97"/>
  <c r="BX876" i="97"/>
  <c r="BP876" i="97"/>
  <c r="BH876" i="97"/>
  <c r="AZ876" i="97"/>
  <c r="AR876" i="97"/>
  <c r="AJ876" i="97"/>
  <c r="AB876" i="97"/>
  <c r="AA876" i="97"/>
  <c r="AM876" i="97"/>
  <c r="AV876" i="97"/>
  <c r="BG876" i="97"/>
  <c r="BS876" i="97"/>
  <c r="CB876" i="97"/>
  <c r="CM876" i="97"/>
  <c r="CY876" i="97"/>
  <c r="DH876" i="97"/>
  <c r="DS876" i="97"/>
  <c r="EN876" i="97"/>
  <c r="EY876" i="97"/>
  <c r="FK876" i="97"/>
  <c r="FT876" i="97"/>
  <c r="GQ876" i="97"/>
  <c r="GZ876" i="97"/>
  <c r="HK876" i="97"/>
  <c r="HW876" i="97"/>
  <c r="IJ876" i="97"/>
  <c r="IU876" i="97"/>
  <c r="JG876" i="97"/>
  <c r="JP876" i="97"/>
  <c r="KA876" i="97"/>
  <c r="KM876" i="97"/>
  <c r="LG876" i="97"/>
  <c r="LS876" i="97"/>
  <c r="MB876" i="97"/>
  <c r="MD877" i="97"/>
  <c r="AE877" i="97"/>
  <c r="AN877" i="97"/>
  <c r="AZ877" i="97"/>
  <c r="BK877" i="97"/>
  <c r="BT877" i="97"/>
  <c r="CF877" i="97"/>
  <c r="CQ877" i="97"/>
  <c r="CZ877" i="97"/>
  <c r="DL877" i="97"/>
  <c r="DW877" i="97"/>
  <c r="EF877" i="97"/>
  <c r="ER877" i="97"/>
  <c r="FC877" i="97"/>
  <c r="FL877" i="97"/>
  <c r="FX877" i="97"/>
  <c r="GI877" i="97"/>
  <c r="GR877" i="97"/>
  <c r="HD877" i="97"/>
  <c r="HO877" i="97"/>
  <c r="HX877" i="97"/>
  <c r="IR877" i="97"/>
  <c r="JH877" i="97"/>
  <c r="JX877" i="97"/>
  <c r="KN877" i="97"/>
  <c r="IE878" i="97"/>
  <c r="IU878" i="97"/>
  <c r="JK878" i="97"/>
  <c r="KA878" i="97"/>
  <c r="AJ879" i="97"/>
  <c r="AZ879" i="97"/>
  <c r="BP879" i="97"/>
  <c r="CF879" i="97"/>
  <c r="CV879" i="97"/>
  <c r="DL879" i="97"/>
  <c r="EB879" i="97"/>
  <c r="ER879" i="97"/>
  <c r="FT879" i="97"/>
  <c r="GZ879" i="97"/>
  <c r="LA880" i="97"/>
  <c r="KS880" i="97"/>
  <c r="KK880" i="97"/>
  <c r="KC880" i="97"/>
  <c r="JU880" i="97"/>
  <c r="JM880" i="97"/>
  <c r="JE880" i="97"/>
  <c r="IW880" i="97"/>
  <c r="IO880" i="97"/>
  <c r="IG880" i="97"/>
  <c r="LE880" i="97"/>
  <c r="KO880" i="97"/>
  <c r="JY880" i="97"/>
  <c r="JI880" i="97"/>
  <c r="IS880" i="97"/>
  <c r="LD880" i="97"/>
  <c r="KN880" i="97"/>
  <c r="JX880" i="97"/>
  <c r="JH880" i="97"/>
  <c r="IR880" i="97"/>
  <c r="KW880" i="97"/>
  <c r="KG880" i="97"/>
  <c r="JQ880" i="97"/>
  <c r="JA880" i="97"/>
  <c r="IK880" i="97"/>
  <c r="IZ880" i="97"/>
  <c r="IO881" i="97"/>
  <c r="MQ882" i="97"/>
  <c r="MM882" i="97"/>
  <c r="MI882" i="97"/>
  <c r="ME882" i="97"/>
  <c r="MA882" i="97"/>
  <c r="LW882" i="97"/>
  <c r="LS882" i="97"/>
  <c r="LO882" i="97"/>
  <c r="LC882" i="97"/>
  <c r="KY882" i="97"/>
  <c r="KU882" i="97"/>
  <c r="KQ882" i="97"/>
  <c r="KM882" i="97"/>
  <c r="KI882" i="97"/>
  <c r="KE882" i="97"/>
  <c r="KA882" i="97"/>
  <c r="JW882" i="97"/>
  <c r="JS882" i="97"/>
  <c r="JO882" i="97"/>
  <c r="JK882" i="97"/>
  <c r="JG882" i="97"/>
  <c r="JC882" i="97"/>
  <c r="IY882" i="97"/>
  <c r="IU882" i="97"/>
  <c r="IQ882" i="97"/>
  <c r="IM882" i="97"/>
  <c r="II882" i="97"/>
  <c r="IE882" i="97"/>
  <c r="IA882" i="97"/>
  <c r="HW882" i="97"/>
  <c r="HS882" i="97"/>
  <c r="HO882" i="97"/>
  <c r="HK882" i="97"/>
  <c r="HG882" i="97"/>
  <c r="HC882" i="97"/>
  <c r="GY882" i="97"/>
  <c r="GU882" i="97"/>
  <c r="GQ882" i="97"/>
  <c r="GM882" i="97"/>
  <c r="GI882" i="97"/>
  <c r="GE882" i="97"/>
  <c r="GA882" i="97"/>
  <c r="FW882" i="97"/>
  <c r="FS882" i="97"/>
  <c r="FO882" i="97"/>
  <c r="FK882" i="97"/>
  <c r="FG882" i="97"/>
  <c r="FC882" i="97"/>
  <c r="EY882" i="97"/>
  <c r="EU882" i="97"/>
  <c r="EQ882" i="97"/>
  <c r="EM882" i="97"/>
  <c r="EI882" i="97"/>
  <c r="EE882" i="97"/>
  <c r="EA882" i="97"/>
  <c r="DW882" i="97"/>
  <c r="DS882" i="97"/>
  <c r="DO882" i="97"/>
  <c r="DK882" i="97"/>
  <c r="DG882" i="97"/>
  <c r="DC882" i="97"/>
  <c r="CY882" i="97"/>
  <c r="CU882" i="97"/>
  <c r="CQ882" i="97"/>
  <c r="CM882" i="97"/>
  <c r="CI882" i="97"/>
  <c r="CE882" i="97"/>
  <c r="CA882" i="97"/>
  <c r="BW882" i="97"/>
  <c r="BS882" i="97"/>
  <c r="BO882" i="97"/>
  <c r="BK882" i="97"/>
  <c r="BG882" i="97"/>
  <c r="BC882" i="97"/>
  <c r="AY882" i="97"/>
  <c r="AU882" i="97"/>
  <c r="AQ882" i="97"/>
  <c r="AM882" i="97"/>
  <c r="AI882" i="97"/>
  <c r="AE882" i="97"/>
  <c r="AA882" i="97"/>
  <c r="MT882" i="97"/>
  <c r="MP882" i="97"/>
  <c r="ML882" i="97"/>
  <c r="MH882" i="97"/>
  <c r="MD882" i="97"/>
  <c r="LZ882" i="97"/>
  <c r="LV882" i="97"/>
  <c r="LR882" i="97"/>
  <c r="LN882" i="97"/>
  <c r="LF882" i="97"/>
  <c r="LB882" i="97"/>
  <c r="KX882" i="97"/>
  <c r="KT882" i="97"/>
  <c r="KP882" i="97"/>
  <c r="KL882" i="97"/>
  <c r="KH882" i="97"/>
  <c r="KD882" i="97"/>
  <c r="JZ882" i="97"/>
  <c r="JV882" i="97"/>
  <c r="JR882" i="97"/>
  <c r="JN882" i="97"/>
  <c r="JJ882" i="97"/>
  <c r="JF882" i="97"/>
  <c r="JB882" i="97"/>
  <c r="IX882" i="97"/>
  <c r="IT882" i="97"/>
  <c r="IP882" i="97"/>
  <c r="IL882" i="97"/>
  <c r="IH882" i="97"/>
  <c r="ID882" i="97"/>
  <c r="HZ882" i="97"/>
  <c r="HV882" i="97"/>
  <c r="HR882" i="97"/>
  <c r="HN882" i="97"/>
  <c r="HJ882" i="97"/>
  <c r="HF882" i="97"/>
  <c r="HB882" i="97"/>
  <c r="GX882" i="97"/>
  <c r="GT882" i="97"/>
  <c r="GP882" i="97"/>
  <c r="GL882" i="97"/>
  <c r="GH882" i="97"/>
  <c r="GD882" i="97"/>
  <c r="FZ882" i="97"/>
  <c r="FV882" i="97"/>
  <c r="FR882" i="97"/>
  <c r="FN882" i="97"/>
  <c r="FJ882" i="97"/>
  <c r="FF882" i="97"/>
  <c r="FB882" i="97"/>
  <c r="EX882" i="97"/>
  <c r="ET882" i="97"/>
  <c r="EP882" i="97"/>
  <c r="EL882" i="97"/>
  <c r="EH882" i="97"/>
  <c r="ED882" i="97"/>
  <c r="DZ882" i="97"/>
  <c r="DV882" i="97"/>
  <c r="DR882" i="97"/>
  <c r="DN882" i="97"/>
  <c r="DJ882" i="97"/>
  <c r="DF882" i="97"/>
  <c r="DB882" i="97"/>
  <c r="CX882" i="97"/>
  <c r="CT882" i="97"/>
  <c r="CP882" i="97"/>
  <c r="CL882" i="97"/>
  <c r="CH882" i="97"/>
  <c r="CD882" i="97"/>
  <c r="BZ882" i="97"/>
  <c r="BV882" i="97"/>
  <c r="BR882" i="97"/>
  <c r="BN882" i="97"/>
  <c r="BJ882" i="97"/>
  <c r="BF882" i="97"/>
  <c r="BB882" i="97"/>
  <c r="AX882" i="97"/>
  <c r="AT882" i="97"/>
  <c r="AP882" i="97"/>
  <c r="AL882" i="97"/>
  <c r="AH882" i="97"/>
  <c r="AD882" i="97"/>
  <c r="Z882" i="97"/>
  <c r="MO882" i="97"/>
  <c r="MG882" i="97"/>
  <c r="LY882" i="97"/>
  <c r="LQ882" i="97"/>
  <c r="LA882" i="97"/>
  <c r="KS882" i="97"/>
  <c r="KK882" i="97"/>
  <c r="KC882" i="97"/>
  <c r="JU882" i="97"/>
  <c r="JM882" i="97"/>
  <c r="JE882" i="97"/>
  <c r="IW882" i="97"/>
  <c r="IO882" i="97"/>
  <c r="IG882" i="97"/>
  <c r="HY882" i="97"/>
  <c r="HQ882" i="97"/>
  <c r="HI882" i="97"/>
  <c r="HA882" i="97"/>
  <c r="GS882" i="97"/>
  <c r="GK882" i="97"/>
  <c r="GC882" i="97"/>
  <c r="FU882" i="97"/>
  <c r="FM882" i="97"/>
  <c r="FE882" i="97"/>
  <c r="EW882" i="97"/>
  <c r="EO882" i="97"/>
  <c r="EG882" i="97"/>
  <c r="DY882" i="97"/>
  <c r="DQ882" i="97"/>
  <c r="DI882" i="97"/>
  <c r="DA882" i="97"/>
  <c r="CS882" i="97"/>
  <c r="CK882" i="97"/>
  <c r="CC882" i="97"/>
  <c r="BU882" i="97"/>
  <c r="BM882" i="97"/>
  <c r="BE882" i="97"/>
  <c r="AW882" i="97"/>
  <c r="AO882" i="97"/>
  <c r="AG882" i="97"/>
  <c r="Y882" i="97"/>
  <c r="MN882" i="97"/>
  <c r="MF882" i="97"/>
  <c r="LX882" i="97"/>
  <c r="LP882" i="97"/>
  <c r="KZ882" i="97"/>
  <c r="KR882" i="97"/>
  <c r="KJ882" i="97"/>
  <c r="KB882" i="97"/>
  <c r="JT882" i="97"/>
  <c r="JL882" i="97"/>
  <c r="JD882" i="97"/>
  <c r="IV882" i="97"/>
  <c r="IN882" i="97"/>
  <c r="IF882" i="97"/>
  <c r="HX882" i="97"/>
  <c r="HP882" i="97"/>
  <c r="HH882" i="97"/>
  <c r="GZ882" i="97"/>
  <c r="GR882" i="97"/>
  <c r="GJ882" i="97"/>
  <c r="GB882" i="97"/>
  <c r="FT882" i="97"/>
  <c r="FL882" i="97"/>
  <c r="FD882" i="97"/>
  <c r="EV882" i="97"/>
  <c r="EN882" i="97"/>
  <c r="EF882" i="97"/>
  <c r="DX882" i="97"/>
  <c r="DP882" i="97"/>
  <c r="DH882" i="97"/>
  <c r="CZ882" i="97"/>
  <c r="CR882" i="97"/>
  <c r="CJ882" i="97"/>
  <c r="CB882" i="97"/>
  <c r="BT882" i="97"/>
  <c r="BL882" i="97"/>
  <c r="BD882" i="97"/>
  <c r="AV882" i="97"/>
  <c r="AN882" i="97"/>
  <c r="AF882" i="97"/>
  <c r="X882" i="97"/>
  <c r="MR882" i="97"/>
  <c r="MB882" i="97"/>
  <c r="LL882" i="97"/>
  <c r="KV882" i="97"/>
  <c r="KF882" i="97"/>
  <c r="JP882" i="97"/>
  <c r="IZ882" i="97"/>
  <c r="IJ882" i="97"/>
  <c r="HT882" i="97"/>
  <c r="HD882" i="97"/>
  <c r="GN882" i="97"/>
  <c r="FX882" i="97"/>
  <c r="FH882" i="97"/>
  <c r="ER882" i="97"/>
  <c r="EB882" i="97"/>
  <c r="DL882" i="97"/>
  <c r="CV882" i="97"/>
  <c r="CF882" i="97"/>
  <c r="BP882" i="97"/>
  <c r="AZ882" i="97"/>
  <c r="AJ882" i="97"/>
  <c r="MK882" i="97"/>
  <c r="LU882" i="97"/>
  <c r="LE882" i="97"/>
  <c r="KO882" i="97"/>
  <c r="JY882" i="97"/>
  <c r="JI882" i="97"/>
  <c r="IS882" i="97"/>
  <c r="IC882" i="97"/>
  <c r="HM882" i="97"/>
  <c r="GW882" i="97"/>
  <c r="GG882" i="97"/>
  <c r="FQ882" i="97"/>
  <c r="FA882" i="97"/>
  <c r="EK882" i="97"/>
  <c r="DU882" i="97"/>
  <c r="DE882" i="97"/>
  <c r="CO882" i="97"/>
  <c r="BY882" i="97"/>
  <c r="BI882" i="97"/>
  <c r="AS882" i="97"/>
  <c r="AC882" i="97"/>
  <c r="MJ882" i="97"/>
  <c r="LT882" i="97"/>
  <c r="LD882" i="97"/>
  <c r="KN882" i="97"/>
  <c r="JX882" i="97"/>
  <c r="JH882" i="97"/>
  <c r="IR882" i="97"/>
  <c r="IB882" i="97"/>
  <c r="HL882" i="97"/>
  <c r="GV882" i="97"/>
  <c r="GF882" i="97"/>
  <c r="FP882" i="97"/>
  <c r="EZ882" i="97"/>
  <c r="EJ882" i="97"/>
  <c r="DT882" i="97"/>
  <c r="DD882" i="97"/>
  <c r="CN882" i="97"/>
  <c r="BX882" i="97"/>
  <c r="BH882" i="97"/>
  <c r="AR882" i="97"/>
  <c r="AB882" i="97"/>
  <c r="AK882" i="97"/>
  <c r="CW882" i="97"/>
  <c r="FI882" i="97"/>
  <c r="HU882" i="97"/>
  <c r="KG882" i="97"/>
  <c r="MS882" i="97"/>
  <c r="LN875" i="97"/>
  <c r="LJ875" i="97"/>
  <c r="FV875" i="97"/>
  <c r="FR875" i="97"/>
  <c r="FN875" i="97"/>
  <c r="FJ875" i="97"/>
  <c r="FF875" i="97"/>
  <c r="FB875" i="97"/>
  <c r="EX875" i="97"/>
  <c r="ET875" i="97"/>
  <c r="EP875" i="97"/>
  <c r="EL875" i="97"/>
  <c r="DZ875" i="97"/>
  <c r="DV875" i="97"/>
  <c r="DR875" i="97"/>
  <c r="DN875" i="97"/>
  <c r="DJ875" i="97"/>
  <c r="DF875" i="97"/>
  <c r="DB875" i="97"/>
  <c r="CX875" i="97"/>
  <c r="CT875" i="97"/>
  <c r="CP875" i="97"/>
  <c r="CL875" i="97"/>
  <c r="CH875" i="97"/>
  <c r="CD875" i="97"/>
  <c r="BZ875" i="97"/>
  <c r="BV875" i="97"/>
  <c r="BR875" i="97"/>
  <c r="BN875" i="97"/>
  <c r="BJ875" i="97"/>
  <c r="BF875" i="97"/>
  <c r="BB875" i="97"/>
  <c r="AX875" i="97"/>
  <c r="AT875" i="97"/>
  <c r="AP875" i="97"/>
  <c r="AL875" i="97"/>
  <c r="AH875" i="97"/>
  <c r="AD875" i="97"/>
  <c r="Z875" i="97"/>
  <c r="LI875" i="97"/>
  <c r="MA875" i="97"/>
  <c r="LS875" i="97"/>
  <c r="LK875" i="97"/>
  <c r="HW875" i="97"/>
  <c r="HO875" i="97"/>
  <c r="HG875" i="97"/>
  <c r="GY875" i="97"/>
  <c r="GQ875" i="97"/>
  <c r="GI875" i="97"/>
  <c r="FS875" i="97"/>
  <c r="FK875" i="97"/>
  <c r="FC875" i="97"/>
  <c r="EU875" i="97"/>
  <c r="EM875" i="97"/>
  <c r="DW875" i="97"/>
  <c r="DO875" i="97"/>
  <c r="DG875" i="97"/>
  <c r="CY875" i="97"/>
  <c r="CQ875" i="97"/>
  <c r="CI875" i="97"/>
  <c r="CA875" i="97"/>
  <c r="BS875" i="97"/>
  <c r="BK875" i="97"/>
  <c r="BC875" i="97"/>
  <c r="AU875" i="97"/>
  <c r="AM875" i="97"/>
  <c r="AE875" i="97"/>
  <c r="MD875" i="97"/>
  <c r="AB875" i="97"/>
  <c r="AN875" i="97"/>
  <c r="AY875" i="97"/>
  <c r="BH875" i="97"/>
  <c r="BT875" i="97"/>
  <c r="CE875" i="97"/>
  <c r="CN875" i="97"/>
  <c r="CZ875" i="97"/>
  <c r="DK875" i="97"/>
  <c r="DT875" i="97"/>
  <c r="EQ875" i="97"/>
  <c r="EZ875" i="97"/>
  <c r="FL875" i="97"/>
  <c r="GR875" i="97"/>
  <c r="HC875" i="97"/>
  <c r="HL875" i="97"/>
  <c r="HX875" i="97"/>
  <c r="LH875" i="97"/>
  <c r="LT875" i="97"/>
  <c r="ME875" i="97"/>
  <c r="MS877" i="97"/>
  <c r="LF877" i="97"/>
  <c r="LB877" i="97"/>
  <c r="KX877" i="97"/>
  <c r="KT877" i="97"/>
  <c r="KP877" i="97"/>
  <c r="KL877" i="97"/>
  <c r="KH877" i="97"/>
  <c r="KD877" i="97"/>
  <c r="JZ877" i="97"/>
  <c r="JV877" i="97"/>
  <c r="JR877" i="97"/>
  <c r="JN877" i="97"/>
  <c r="JJ877" i="97"/>
  <c r="JF877" i="97"/>
  <c r="JB877" i="97"/>
  <c r="IX877" i="97"/>
  <c r="IT877" i="97"/>
  <c r="IP877" i="97"/>
  <c r="IL877" i="97"/>
  <c r="IH877" i="97"/>
  <c r="KY877" i="97"/>
  <c r="KQ877" i="97"/>
  <c r="KI877" i="97"/>
  <c r="KA877" i="97"/>
  <c r="JS877" i="97"/>
  <c r="JK877" i="97"/>
  <c r="JC877" i="97"/>
  <c r="IU877" i="97"/>
  <c r="IM877" i="97"/>
  <c r="IE877" i="97"/>
  <c r="LC877" i="97"/>
  <c r="KU877" i="97"/>
  <c r="KM877" i="97"/>
  <c r="KE877" i="97"/>
  <c r="JW877" i="97"/>
  <c r="JO877" i="97"/>
  <c r="JG877" i="97"/>
  <c r="IY877" i="97"/>
  <c r="IQ877" i="97"/>
  <c r="II877" i="97"/>
  <c r="IF877" i="97"/>
  <c r="IV877" i="97"/>
  <c r="JL877" i="97"/>
  <c r="KB877" i="97"/>
  <c r="KR877" i="97"/>
  <c r="L878" i="97"/>
  <c r="M878" i="97" s="1"/>
  <c r="LF878" i="97"/>
  <c r="LB878" i="97"/>
  <c r="KX878" i="97"/>
  <c r="KT878" i="97"/>
  <c r="KP878" i="97"/>
  <c r="KL878" i="97"/>
  <c r="KH878" i="97"/>
  <c r="KD878" i="97"/>
  <c r="JZ878" i="97"/>
  <c r="JV878" i="97"/>
  <c r="JR878" i="97"/>
  <c r="JN878" i="97"/>
  <c r="JJ878" i="97"/>
  <c r="JF878" i="97"/>
  <c r="JB878" i="97"/>
  <c r="IX878" i="97"/>
  <c r="IT878" i="97"/>
  <c r="IP878" i="97"/>
  <c r="IL878" i="97"/>
  <c r="IH878" i="97"/>
  <c r="LD878" i="97"/>
  <c r="KV878" i="97"/>
  <c r="KN878" i="97"/>
  <c r="KF878" i="97"/>
  <c r="JX878" i="97"/>
  <c r="JP878" i="97"/>
  <c r="JH878" i="97"/>
  <c r="IZ878" i="97"/>
  <c r="IR878" i="97"/>
  <c r="IJ878" i="97"/>
  <c r="MF878" i="97"/>
  <c r="KZ878" i="97"/>
  <c r="KR878" i="97"/>
  <c r="KJ878" i="97"/>
  <c r="KB878" i="97"/>
  <c r="JT878" i="97"/>
  <c r="JL878" i="97"/>
  <c r="JD878" i="97"/>
  <c r="IV878" i="97"/>
  <c r="IN878" i="97"/>
  <c r="IF878" i="97"/>
  <c r="II878" i="97"/>
  <c r="IY878" i="97"/>
  <c r="JO878" i="97"/>
  <c r="KE878" i="97"/>
  <c r="KU878" i="97"/>
  <c r="MT879" i="97"/>
  <c r="GD879" i="97"/>
  <c r="FZ879" i="97"/>
  <c r="EH879" i="97"/>
  <c r="ED879" i="97"/>
  <c r="GA879" i="97"/>
  <c r="EE879" i="97"/>
  <c r="HT879" i="97"/>
  <c r="HL879" i="97"/>
  <c r="HD879" i="97"/>
  <c r="GV879" i="97"/>
  <c r="GN879" i="97"/>
  <c r="GF879" i="97"/>
  <c r="FX879" i="97"/>
  <c r="FP879" i="97"/>
  <c r="FH879" i="97"/>
  <c r="EZ879" i="97"/>
  <c r="GE879" i="97"/>
  <c r="FW879" i="97"/>
  <c r="X879" i="97"/>
  <c r="AN879" i="97"/>
  <c r="BD879" i="97"/>
  <c r="BT879" i="97"/>
  <c r="CJ879" i="97"/>
  <c r="CZ879" i="97"/>
  <c r="DP879" i="97"/>
  <c r="EF879" i="97"/>
  <c r="EV879" i="97"/>
  <c r="GB879" i="97"/>
  <c r="HH879" i="97"/>
  <c r="L880" i="97"/>
  <c r="M880" i="97" s="1"/>
  <c r="JP880" i="97"/>
  <c r="L881" i="97"/>
  <c r="M881" i="97" s="1"/>
  <c r="MF881" i="97"/>
  <c r="KZ881" i="97"/>
  <c r="KJ881" i="97"/>
  <c r="JT881" i="97"/>
  <c r="JD881" i="97"/>
  <c r="IN881" i="97"/>
  <c r="MO881" i="97"/>
  <c r="KS881" i="97"/>
  <c r="KC881" i="97"/>
  <c r="JM881" i="97"/>
  <c r="IW881" i="97"/>
  <c r="IG881" i="97"/>
  <c r="MN881" i="97"/>
  <c r="KR881" i="97"/>
  <c r="KB881" i="97"/>
  <c r="JL881" i="97"/>
  <c r="IV881" i="97"/>
  <c r="IF881" i="97"/>
  <c r="JE881" i="97"/>
  <c r="KW882" i="97"/>
  <c r="MS870" i="97"/>
  <c r="IE870" i="97"/>
  <c r="IJ870" i="97"/>
  <c r="IP870" i="97"/>
  <c r="IU870" i="97"/>
  <c r="IZ870" i="97"/>
  <c r="JF870" i="97"/>
  <c r="JK870" i="97"/>
  <c r="JP870" i="97"/>
  <c r="JV870" i="97"/>
  <c r="KA870" i="97"/>
  <c r="KF870" i="97"/>
  <c r="KL870" i="97"/>
  <c r="KQ870" i="97"/>
  <c r="KV870" i="97"/>
  <c r="MS871" i="97"/>
  <c r="IE871" i="97"/>
  <c r="IJ871" i="97"/>
  <c r="IP871" i="97"/>
  <c r="IU871" i="97"/>
  <c r="IZ871" i="97"/>
  <c r="JG871" i="97"/>
  <c r="JO871" i="97"/>
  <c r="JV871" i="97"/>
  <c r="KB871" i="97"/>
  <c r="KJ871" i="97"/>
  <c r="KQ871" i="97"/>
  <c r="KX871" i="97"/>
  <c r="LF871" i="97"/>
  <c r="MH871" i="97"/>
  <c r="MN871" i="97"/>
  <c r="LN872" i="97"/>
  <c r="LJ872" i="97"/>
  <c r="FV872" i="97"/>
  <c r="FR872" i="97"/>
  <c r="FN872" i="97"/>
  <c r="FJ872" i="97"/>
  <c r="FF872" i="97"/>
  <c r="FB872" i="97"/>
  <c r="EX872" i="97"/>
  <c r="ET872" i="97"/>
  <c r="EP872" i="97"/>
  <c r="EL872" i="97"/>
  <c r="LI872" i="97"/>
  <c r="LP872" i="97"/>
  <c r="LH872" i="97"/>
  <c r="FP872" i="97"/>
  <c r="FH872" i="97"/>
  <c r="EZ872" i="97"/>
  <c r="ER872" i="97"/>
  <c r="EJ872" i="97"/>
  <c r="DZ872" i="97"/>
  <c r="DT872" i="97"/>
  <c r="DO872" i="97"/>
  <c r="DJ872" i="97"/>
  <c r="DD872" i="97"/>
  <c r="CY872" i="97"/>
  <c r="CT872" i="97"/>
  <c r="CN872" i="97"/>
  <c r="CI872" i="97"/>
  <c r="CD872" i="97"/>
  <c r="BX872" i="97"/>
  <c r="BS872" i="97"/>
  <c r="BN872" i="97"/>
  <c r="BH872" i="97"/>
  <c r="BC872" i="97"/>
  <c r="AX872" i="97"/>
  <c r="AR872" i="97"/>
  <c r="AM872" i="97"/>
  <c r="AH872" i="97"/>
  <c r="AB872" i="97"/>
  <c r="A872" i="97"/>
  <c r="Z872" i="97"/>
  <c r="AF872" i="97"/>
  <c r="AN872" i="97"/>
  <c r="AU872" i="97"/>
  <c r="BB872" i="97"/>
  <c r="BJ872" i="97"/>
  <c r="BP872" i="97"/>
  <c r="BW872" i="97"/>
  <c r="CE872" i="97"/>
  <c r="CL872" i="97"/>
  <c r="CR872" i="97"/>
  <c r="CZ872" i="97"/>
  <c r="DG872" i="97"/>
  <c r="DN872" i="97"/>
  <c r="DV872" i="97"/>
  <c r="EB872" i="97"/>
  <c r="EI872" i="97"/>
  <c r="EU872" i="97"/>
  <c r="FD872" i="97"/>
  <c r="FO872" i="97"/>
  <c r="LL872" i="97"/>
  <c r="L873" i="97"/>
  <c r="M873" i="97" s="1"/>
  <c r="GD873" i="97"/>
  <c r="FZ873" i="97"/>
  <c r="EH873" i="97"/>
  <c r="ED873" i="97"/>
  <c r="GE873" i="97"/>
  <c r="FW873" i="97"/>
  <c r="X873" i="97"/>
  <c r="AJ873" i="97"/>
  <c r="AU873" i="97"/>
  <c r="BD873" i="97"/>
  <c r="BP873" i="97"/>
  <c r="CA873" i="97"/>
  <c r="CJ873" i="97"/>
  <c r="CV873" i="97"/>
  <c r="DG873" i="97"/>
  <c r="DP873" i="97"/>
  <c r="EB873" i="97"/>
  <c r="EM873" i="97"/>
  <c r="EV873" i="97"/>
  <c r="FH873" i="97"/>
  <c r="FS873" i="97"/>
  <c r="GB873" i="97"/>
  <c r="GN873" i="97"/>
  <c r="GY873" i="97"/>
  <c r="HH873" i="97"/>
  <c r="HT873" i="97"/>
  <c r="LP873" i="97"/>
  <c r="MA873" i="97"/>
  <c r="LN874" i="97"/>
  <c r="LJ874" i="97"/>
  <c r="FV874" i="97"/>
  <c r="FR874" i="97"/>
  <c r="FN874" i="97"/>
  <c r="FJ874" i="97"/>
  <c r="FF874" i="97"/>
  <c r="FB874" i="97"/>
  <c r="EX874" i="97"/>
  <c r="ET874" i="97"/>
  <c r="EP874" i="97"/>
  <c r="EL874" i="97"/>
  <c r="DZ874" i="97"/>
  <c r="DV874" i="97"/>
  <c r="DR874" i="97"/>
  <c r="DN874" i="97"/>
  <c r="DJ874" i="97"/>
  <c r="DF874" i="97"/>
  <c r="DB874" i="97"/>
  <c r="CX874" i="97"/>
  <c r="CT874" i="97"/>
  <c r="CP874" i="97"/>
  <c r="CL874" i="97"/>
  <c r="CH874" i="97"/>
  <c r="CD874" i="97"/>
  <c r="BZ874" i="97"/>
  <c r="BV874" i="97"/>
  <c r="BR874" i="97"/>
  <c r="BN874" i="97"/>
  <c r="BJ874" i="97"/>
  <c r="BF874" i="97"/>
  <c r="BB874" i="97"/>
  <c r="AX874" i="97"/>
  <c r="AT874" i="97"/>
  <c r="AP874" i="97"/>
  <c r="AL874" i="97"/>
  <c r="AH874" i="97"/>
  <c r="AD874" i="97"/>
  <c r="Z874" i="97"/>
  <c r="LI874" i="97"/>
  <c r="MB874" i="97"/>
  <c r="LT874" i="97"/>
  <c r="LL874" i="97"/>
  <c r="HX874" i="97"/>
  <c r="HP874" i="97"/>
  <c r="HH874" i="97"/>
  <c r="GZ874" i="97"/>
  <c r="GR874" i="97"/>
  <c r="GJ874" i="97"/>
  <c r="FT874" i="97"/>
  <c r="FL874" i="97"/>
  <c r="FD874" i="97"/>
  <c r="EV874" i="97"/>
  <c r="EN874" i="97"/>
  <c r="DX874" i="97"/>
  <c r="DP874" i="97"/>
  <c r="DH874" i="97"/>
  <c r="CZ874" i="97"/>
  <c r="CR874" i="97"/>
  <c r="CJ874" i="97"/>
  <c r="CB874" i="97"/>
  <c r="BT874" i="97"/>
  <c r="BL874" i="97"/>
  <c r="BD874" i="97"/>
  <c r="AV874" i="97"/>
  <c r="AN874" i="97"/>
  <c r="AF874" i="97"/>
  <c r="X874" i="97"/>
  <c r="A874" i="97"/>
  <c r="AB874" i="97"/>
  <c r="AM874" i="97"/>
  <c r="AY874" i="97"/>
  <c r="BH874" i="97"/>
  <c r="BS874" i="97"/>
  <c r="CE874" i="97"/>
  <c r="CN874" i="97"/>
  <c r="CY874" i="97"/>
  <c r="DK874" i="97"/>
  <c r="DT874" i="97"/>
  <c r="EQ874" i="97"/>
  <c r="EZ874" i="97"/>
  <c r="FK874" i="97"/>
  <c r="GQ874" i="97"/>
  <c r="HC874" i="97"/>
  <c r="HL874" i="97"/>
  <c r="HW874" i="97"/>
  <c r="IM874" i="97"/>
  <c r="IV874" i="97"/>
  <c r="JG874" i="97"/>
  <c r="JS874" i="97"/>
  <c r="KB874" i="97"/>
  <c r="KM874" i="97"/>
  <c r="KY874" i="97"/>
  <c r="LH874" i="97"/>
  <c r="LS874" i="97"/>
  <c r="ME874" i="97"/>
  <c r="MS875" i="97"/>
  <c r="AF875" i="97"/>
  <c r="AQ875" i="97"/>
  <c r="AZ875" i="97"/>
  <c r="BL875" i="97"/>
  <c r="BW875" i="97"/>
  <c r="CF875" i="97"/>
  <c r="CR875" i="97"/>
  <c r="DC875" i="97"/>
  <c r="DL875" i="97"/>
  <c r="DX875" i="97"/>
  <c r="EI875" i="97"/>
  <c r="ER875" i="97"/>
  <c r="FD875" i="97"/>
  <c r="FO875" i="97"/>
  <c r="GJ875" i="97"/>
  <c r="GU875" i="97"/>
  <c r="HD875" i="97"/>
  <c r="HP875" i="97"/>
  <c r="LL875" i="97"/>
  <c r="LW875" i="97"/>
  <c r="MF875" i="97"/>
  <c r="MR875" i="97"/>
  <c r="L876" i="97"/>
  <c r="M876" i="97" s="1"/>
  <c r="LF876" i="97"/>
  <c r="LB876" i="97"/>
  <c r="KX876" i="97"/>
  <c r="KT876" i="97"/>
  <c r="KP876" i="97"/>
  <c r="KL876" i="97"/>
  <c r="KH876" i="97"/>
  <c r="KD876" i="97"/>
  <c r="JZ876" i="97"/>
  <c r="JV876" i="97"/>
  <c r="JR876" i="97"/>
  <c r="JN876" i="97"/>
  <c r="JJ876" i="97"/>
  <c r="JF876" i="97"/>
  <c r="JB876" i="97"/>
  <c r="IX876" i="97"/>
  <c r="IT876" i="97"/>
  <c r="IP876" i="97"/>
  <c r="IL876" i="97"/>
  <c r="IH876" i="97"/>
  <c r="KZ876" i="97"/>
  <c r="KR876" i="97"/>
  <c r="KJ876" i="97"/>
  <c r="KB876" i="97"/>
  <c r="JT876" i="97"/>
  <c r="JL876" i="97"/>
  <c r="JD876" i="97"/>
  <c r="IV876" i="97"/>
  <c r="IN876" i="97"/>
  <c r="IF876" i="97"/>
  <c r="AF876" i="97"/>
  <c r="AQ876" i="97"/>
  <c r="BC876" i="97"/>
  <c r="BL876" i="97"/>
  <c r="BW876" i="97"/>
  <c r="CI876" i="97"/>
  <c r="CR876" i="97"/>
  <c r="DC876" i="97"/>
  <c r="DO876" i="97"/>
  <c r="DX876" i="97"/>
  <c r="EI876" i="97"/>
  <c r="EU876" i="97"/>
  <c r="FD876" i="97"/>
  <c r="FO876" i="97"/>
  <c r="GJ876" i="97"/>
  <c r="GU876" i="97"/>
  <c r="HG876" i="97"/>
  <c r="HP876" i="97"/>
  <c r="IE876" i="97"/>
  <c r="IQ876" i="97"/>
  <c r="IZ876" i="97"/>
  <c r="JK876" i="97"/>
  <c r="JW876" i="97"/>
  <c r="KF876" i="97"/>
  <c r="KQ876" i="97"/>
  <c r="LC876" i="97"/>
  <c r="LL876" i="97"/>
  <c r="LW876" i="97"/>
  <c r="L877" i="97"/>
  <c r="M877" i="97" s="1"/>
  <c r="GD877" i="97"/>
  <c r="FZ877" i="97"/>
  <c r="EH877" i="97"/>
  <c r="ED877" i="97"/>
  <c r="GE877" i="97"/>
  <c r="FW877" i="97"/>
  <c r="MA877" i="97"/>
  <c r="LS877" i="97"/>
  <c r="LK877" i="97"/>
  <c r="X877" i="97"/>
  <c r="AJ877" i="97"/>
  <c r="AU877" i="97"/>
  <c r="BD877" i="97"/>
  <c r="BP877" i="97"/>
  <c r="CA877" i="97"/>
  <c r="CJ877" i="97"/>
  <c r="CV877" i="97"/>
  <c r="DG877" i="97"/>
  <c r="DP877" i="97"/>
  <c r="EB877" i="97"/>
  <c r="EM877" i="97"/>
  <c r="EV877" i="97"/>
  <c r="FH877" i="97"/>
  <c r="FS877" i="97"/>
  <c r="GB877" i="97"/>
  <c r="GN877" i="97"/>
  <c r="GY877" i="97"/>
  <c r="HH877" i="97"/>
  <c r="HT877" i="97"/>
  <c r="IJ877" i="97"/>
  <c r="IZ877" i="97"/>
  <c r="JP877" i="97"/>
  <c r="KF877" i="97"/>
  <c r="KV877" i="97"/>
  <c r="LL877" i="97"/>
  <c r="MB877" i="97"/>
  <c r="IM878" i="97"/>
  <c r="JC878" i="97"/>
  <c r="JS878" i="97"/>
  <c r="KI878" i="97"/>
  <c r="KY878" i="97"/>
  <c r="MQ878" i="97"/>
  <c r="AB879" i="97"/>
  <c r="AR879" i="97"/>
  <c r="BH879" i="97"/>
  <c r="BX879" i="97"/>
  <c r="CN879" i="97"/>
  <c r="DD879" i="97"/>
  <c r="DT879" i="97"/>
  <c r="EJ879" i="97"/>
  <c r="FD879" i="97"/>
  <c r="GJ879" i="97"/>
  <c r="HP879" i="97"/>
  <c r="LL879" i="97"/>
  <c r="KF880" i="97"/>
  <c r="MR880" i="97"/>
  <c r="JU881" i="97"/>
  <c r="MG881" i="97"/>
  <c r="MS878" i="97"/>
  <c r="MD878" i="97"/>
  <c r="LN879" i="97"/>
  <c r="LJ879" i="97"/>
  <c r="FV879" i="97"/>
  <c r="FR879" i="97"/>
  <c r="FN879" i="97"/>
  <c r="FJ879" i="97"/>
  <c r="FF879" i="97"/>
  <c r="FB879" i="97"/>
  <c r="EX879" i="97"/>
  <c r="ET879" i="97"/>
  <c r="EP879" i="97"/>
  <c r="EL879" i="97"/>
  <c r="DZ879" i="97"/>
  <c r="DV879" i="97"/>
  <c r="DR879" i="97"/>
  <c r="DN879" i="97"/>
  <c r="DJ879" i="97"/>
  <c r="DF879" i="97"/>
  <c r="DB879" i="97"/>
  <c r="CX879" i="97"/>
  <c r="CT879" i="97"/>
  <c r="CP879" i="97"/>
  <c r="CL879" i="97"/>
  <c r="CH879" i="97"/>
  <c r="CD879" i="97"/>
  <c r="BZ879" i="97"/>
  <c r="BV879" i="97"/>
  <c r="BR879" i="97"/>
  <c r="BN879" i="97"/>
  <c r="BJ879" i="97"/>
  <c r="BF879" i="97"/>
  <c r="BB879" i="97"/>
  <c r="AX879" i="97"/>
  <c r="AT879" i="97"/>
  <c r="AP879" i="97"/>
  <c r="AL879" i="97"/>
  <c r="AH879" i="97"/>
  <c r="AD879" i="97"/>
  <c r="Z879" i="97"/>
  <c r="LI879" i="97"/>
  <c r="AA879" i="97"/>
  <c r="AI879" i="97"/>
  <c r="AQ879" i="97"/>
  <c r="AY879" i="97"/>
  <c r="BG879" i="97"/>
  <c r="BO879" i="97"/>
  <c r="BW879" i="97"/>
  <c r="CE879" i="97"/>
  <c r="CM879" i="97"/>
  <c r="CU879" i="97"/>
  <c r="DC879" i="97"/>
  <c r="DK879" i="97"/>
  <c r="DS879" i="97"/>
  <c r="EA879" i="97"/>
  <c r="EI879" i="97"/>
  <c r="EQ879" i="97"/>
  <c r="EY879" i="97"/>
  <c r="FG879" i="97"/>
  <c r="FO879" i="97"/>
  <c r="GM879" i="97"/>
  <c r="GU879" i="97"/>
  <c r="HC879" i="97"/>
  <c r="HK879" i="97"/>
  <c r="HS879" i="97"/>
  <c r="LG879" i="97"/>
  <c r="LO879" i="97"/>
  <c r="LW879" i="97"/>
  <c r="ME879" i="97"/>
  <c r="A880" i="97"/>
  <c r="MO880" i="97"/>
  <c r="MG880" i="97"/>
  <c r="GC880" i="97"/>
  <c r="EG880" i="97"/>
  <c r="X880" i="97"/>
  <c r="AF880" i="97"/>
  <c r="AN880" i="97"/>
  <c r="AV880" i="97"/>
  <c r="BD880" i="97"/>
  <c r="BL880" i="97"/>
  <c r="BT880" i="97"/>
  <c r="CB880" i="97"/>
  <c r="CJ880" i="97"/>
  <c r="CR880" i="97"/>
  <c r="CZ880" i="97"/>
  <c r="DH880" i="97"/>
  <c r="DP880" i="97"/>
  <c r="EC880" i="97"/>
  <c r="ES880" i="97"/>
  <c r="FI880" i="97"/>
  <c r="FY880" i="97"/>
  <c r="GO880" i="97"/>
  <c r="HE880" i="97"/>
  <c r="HU880" i="97"/>
  <c r="LM880" i="97"/>
  <c r="MS880" i="97"/>
  <c r="HA883" i="97"/>
  <c r="HQ883" i="97"/>
  <c r="LI883" i="97"/>
  <c r="LY883" i="97"/>
  <c r="EK884" i="97"/>
  <c r="FA884" i="97"/>
  <c r="FQ884" i="97"/>
  <c r="GG884" i="97"/>
  <c r="GW884" i="97"/>
  <c r="HM884" i="97"/>
  <c r="LZ885" i="97"/>
  <c r="LO885" i="97"/>
  <c r="HY885" i="97"/>
  <c r="HQ885" i="97"/>
  <c r="HI885" i="97"/>
  <c r="HA885" i="97"/>
  <c r="GS885" i="97"/>
  <c r="X885" i="97"/>
  <c r="AN885" i="97"/>
  <c r="BD885" i="97"/>
  <c r="BT885" i="97"/>
  <c r="CJ885" i="97"/>
  <c r="CZ885" i="97"/>
  <c r="DP885" i="97"/>
  <c r="EF885" i="97"/>
  <c r="EV885" i="97"/>
  <c r="FL885" i="97"/>
  <c r="GB885" i="97"/>
  <c r="GR885" i="97"/>
  <c r="HX885" i="97"/>
  <c r="LY885" i="97"/>
  <c r="LH879" i="97"/>
  <c r="LP879" i="97"/>
  <c r="LX879" i="97"/>
  <c r="LK880" i="97"/>
  <c r="LG880" i="97"/>
  <c r="LJ880" i="97"/>
  <c r="LI880" i="97"/>
  <c r="FU880" i="97"/>
  <c r="FM880" i="97"/>
  <c r="FE880" i="97"/>
  <c r="EW880" i="97"/>
  <c r="EO880" i="97"/>
  <c r="DY880" i="97"/>
  <c r="DR880" i="97"/>
  <c r="DN880" i="97"/>
  <c r="DJ880" i="97"/>
  <c r="DF880" i="97"/>
  <c r="DB880" i="97"/>
  <c r="CX880" i="97"/>
  <c r="CT880" i="97"/>
  <c r="CP880" i="97"/>
  <c r="CL880" i="97"/>
  <c r="CH880" i="97"/>
  <c r="CD880" i="97"/>
  <c r="BZ880" i="97"/>
  <c r="BV880" i="97"/>
  <c r="BR880" i="97"/>
  <c r="BN880" i="97"/>
  <c r="BJ880" i="97"/>
  <c r="BF880" i="97"/>
  <c r="BB880" i="97"/>
  <c r="AX880" i="97"/>
  <c r="AT880" i="97"/>
  <c r="AP880" i="97"/>
  <c r="AL880" i="97"/>
  <c r="AH880" i="97"/>
  <c r="AD880" i="97"/>
  <c r="Z880" i="97"/>
  <c r="LH880" i="97"/>
  <c r="AA880" i="97"/>
  <c r="AI880" i="97"/>
  <c r="AQ880" i="97"/>
  <c r="AY880" i="97"/>
  <c r="BG880" i="97"/>
  <c r="BO880" i="97"/>
  <c r="BW880" i="97"/>
  <c r="CE880" i="97"/>
  <c r="CM880" i="97"/>
  <c r="CU880" i="97"/>
  <c r="DC880" i="97"/>
  <c r="DK880" i="97"/>
  <c r="DT880" i="97"/>
  <c r="EJ880" i="97"/>
  <c r="EZ880" i="97"/>
  <c r="FP880" i="97"/>
  <c r="GV880" i="97"/>
  <c r="HL880" i="97"/>
  <c r="LT880" i="97"/>
  <c r="MJ880" i="97"/>
  <c r="X883" i="97"/>
  <c r="AN883" i="97"/>
  <c r="BD883" i="97"/>
  <c r="BT883" i="97"/>
  <c r="CJ883" i="97"/>
  <c r="CZ883" i="97"/>
  <c r="DP883" i="97"/>
  <c r="EF883" i="97"/>
  <c r="EV883" i="97"/>
  <c r="FL883" i="97"/>
  <c r="GB883" i="97"/>
  <c r="GR883" i="97"/>
  <c r="HH883" i="97"/>
  <c r="HX883" i="97"/>
  <c r="LP883" i="97"/>
  <c r="LK884" i="97"/>
  <c r="LG884" i="97"/>
  <c r="A884" i="97"/>
  <c r="LJ884" i="97"/>
  <c r="LI884" i="97"/>
  <c r="LH884" i="97"/>
  <c r="AJ884" i="97"/>
  <c r="AZ884" i="97"/>
  <c r="BP884" i="97"/>
  <c r="CF884" i="97"/>
  <c r="CV884" i="97"/>
  <c r="DL884" i="97"/>
  <c r="EB884" i="97"/>
  <c r="ER884" i="97"/>
  <c r="FH884" i="97"/>
  <c r="GN884" i="97"/>
  <c r="HD884" i="97"/>
  <c r="HT884" i="97"/>
  <c r="LL884" i="97"/>
  <c r="MB884" i="97"/>
  <c r="L885" i="97"/>
  <c r="M885" i="97" s="1"/>
  <c r="MK885" i="97"/>
  <c r="LE885" i="97"/>
  <c r="KT885" i="97"/>
  <c r="KK885" i="97"/>
  <c r="KC885" i="97"/>
  <c r="JU885" i="97"/>
  <c r="JM885" i="97"/>
  <c r="JE885" i="97"/>
  <c r="IW885" i="97"/>
  <c r="IO885" i="97"/>
  <c r="IG885" i="97"/>
  <c r="Y885" i="97"/>
  <c r="AO885" i="97"/>
  <c r="BE885" i="97"/>
  <c r="BU885" i="97"/>
  <c r="CK885" i="97"/>
  <c r="DA885" i="97"/>
  <c r="DQ885" i="97"/>
  <c r="EG885" i="97"/>
  <c r="EW885" i="97"/>
  <c r="FM885" i="97"/>
  <c r="GC885" i="97"/>
  <c r="GZ885" i="97"/>
  <c r="IF885" i="97"/>
  <c r="JL885" i="97"/>
  <c r="KS885" i="97"/>
  <c r="MI885" i="97"/>
  <c r="L886" i="97"/>
  <c r="M886" i="97" s="1"/>
  <c r="MT872" i="97"/>
  <c r="MP872" i="97"/>
  <c r="ML872" i="97"/>
  <c r="MH872" i="97"/>
  <c r="M872" i="97"/>
  <c r="LF872" i="97"/>
  <c r="LB872" i="97"/>
  <c r="KX872" i="97"/>
  <c r="KT872" i="97"/>
  <c r="KP872" i="97"/>
  <c r="KL872" i="97"/>
  <c r="KH872" i="97"/>
  <c r="KD872" i="97"/>
  <c r="JZ872" i="97"/>
  <c r="JV872" i="97"/>
  <c r="JR872" i="97"/>
  <c r="JN872" i="97"/>
  <c r="JJ872" i="97"/>
  <c r="JF872" i="97"/>
  <c r="JB872" i="97"/>
  <c r="IX872" i="97"/>
  <c r="IT872" i="97"/>
  <c r="IP872" i="97"/>
  <c r="IL872" i="97"/>
  <c r="IH872" i="97"/>
  <c r="IF872" i="97"/>
  <c r="IN872" i="97"/>
  <c r="IV872" i="97"/>
  <c r="JD872" i="97"/>
  <c r="JL872" i="97"/>
  <c r="JT872" i="97"/>
  <c r="KB872" i="97"/>
  <c r="KJ872" i="97"/>
  <c r="KR872" i="97"/>
  <c r="KZ872" i="97"/>
  <c r="MF872" i="97"/>
  <c r="MN872" i="97"/>
  <c r="LN873" i="97"/>
  <c r="LJ873" i="97"/>
  <c r="FV873" i="97"/>
  <c r="FR873" i="97"/>
  <c r="FN873" i="97"/>
  <c r="FJ873" i="97"/>
  <c r="FF873" i="97"/>
  <c r="FB873" i="97"/>
  <c r="EX873" i="97"/>
  <c r="ET873" i="97"/>
  <c r="EP873" i="97"/>
  <c r="EL873" i="97"/>
  <c r="DZ873" i="97"/>
  <c r="DV873" i="97"/>
  <c r="DR873" i="97"/>
  <c r="DN873" i="97"/>
  <c r="DJ873" i="97"/>
  <c r="DF873" i="97"/>
  <c r="DB873" i="97"/>
  <c r="CX873" i="97"/>
  <c r="CT873" i="97"/>
  <c r="CP873" i="97"/>
  <c r="CL873" i="97"/>
  <c r="CH873" i="97"/>
  <c r="CD873" i="97"/>
  <c r="BZ873" i="97"/>
  <c r="BV873" i="97"/>
  <c r="BR873" i="97"/>
  <c r="BN873" i="97"/>
  <c r="BJ873" i="97"/>
  <c r="BF873" i="97"/>
  <c r="BB873" i="97"/>
  <c r="AX873" i="97"/>
  <c r="AT873" i="97"/>
  <c r="AP873" i="97"/>
  <c r="AL873" i="97"/>
  <c r="AH873" i="97"/>
  <c r="AD873" i="97"/>
  <c r="Z873" i="97"/>
  <c r="LI873" i="97"/>
  <c r="AA873" i="97"/>
  <c r="AI873" i="97"/>
  <c r="AQ873" i="97"/>
  <c r="AY873" i="97"/>
  <c r="BG873" i="97"/>
  <c r="BO873" i="97"/>
  <c r="BW873" i="97"/>
  <c r="CE873" i="97"/>
  <c r="CM873" i="97"/>
  <c r="CU873" i="97"/>
  <c r="DC873" i="97"/>
  <c r="DK873" i="97"/>
  <c r="DS873" i="97"/>
  <c r="EA873" i="97"/>
  <c r="EI873" i="97"/>
  <c r="EQ873" i="97"/>
  <c r="EY873" i="97"/>
  <c r="FG873" i="97"/>
  <c r="FO873" i="97"/>
  <c r="GM873" i="97"/>
  <c r="GU873" i="97"/>
  <c r="HC873" i="97"/>
  <c r="HK873" i="97"/>
  <c r="HS873" i="97"/>
  <c r="LG873" i="97"/>
  <c r="LO873" i="97"/>
  <c r="LW873" i="97"/>
  <c r="ME873" i="97"/>
  <c r="MT874" i="97"/>
  <c r="MP874" i="97"/>
  <c r="ML874" i="97"/>
  <c r="MH874" i="97"/>
  <c r="GD874" i="97"/>
  <c r="FZ874" i="97"/>
  <c r="EH874" i="97"/>
  <c r="ED874" i="97"/>
  <c r="EF874" i="97"/>
  <c r="GB874" i="97"/>
  <c r="MJ874" i="97"/>
  <c r="MR874" i="97"/>
  <c r="L875" i="97"/>
  <c r="M875" i="97" s="1"/>
  <c r="LF875" i="97"/>
  <c r="LB875" i="97"/>
  <c r="KX875" i="97"/>
  <c r="KT875" i="97"/>
  <c r="KP875" i="97"/>
  <c r="KL875" i="97"/>
  <c r="KH875" i="97"/>
  <c r="KD875" i="97"/>
  <c r="JZ875" i="97"/>
  <c r="JV875" i="97"/>
  <c r="JR875" i="97"/>
  <c r="JN875" i="97"/>
  <c r="JJ875" i="97"/>
  <c r="JF875" i="97"/>
  <c r="JB875" i="97"/>
  <c r="IX875" i="97"/>
  <c r="IT875" i="97"/>
  <c r="IP875" i="97"/>
  <c r="IL875" i="97"/>
  <c r="IH875" i="97"/>
  <c r="II875" i="97"/>
  <c r="IQ875" i="97"/>
  <c r="IY875" i="97"/>
  <c r="JG875" i="97"/>
  <c r="JO875" i="97"/>
  <c r="JW875" i="97"/>
  <c r="KE875" i="97"/>
  <c r="KM875" i="97"/>
  <c r="KU875" i="97"/>
  <c r="LC875" i="97"/>
  <c r="MS876" i="97"/>
  <c r="MD876" i="97"/>
  <c r="LN877" i="97"/>
  <c r="LJ877" i="97"/>
  <c r="FV877" i="97"/>
  <c r="FR877" i="97"/>
  <c r="FN877" i="97"/>
  <c r="FJ877" i="97"/>
  <c r="FF877" i="97"/>
  <c r="FB877" i="97"/>
  <c r="EX877" i="97"/>
  <c r="ET877" i="97"/>
  <c r="EP877" i="97"/>
  <c r="EL877" i="97"/>
  <c r="DZ877" i="97"/>
  <c r="DV877" i="97"/>
  <c r="DR877" i="97"/>
  <c r="DN877" i="97"/>
  <c r="DJ877" i="97"/>
  <c r="DF877" i="97"/>
  <c r="DB877" i="97"/>
  <c r="CX877" i="97"/>
  <c r="CT877" i="97"/>
  <c r="CP877" i="97"/>
  <c r="CL877" i="97"/>
  <c r="CH877" i="97"/>
  <c r="CD877" i="97"/>
  <c r="BZ877" i="97"/>
  <c r="BV877" i="97"/>
  <c r="BR877" i="97"/>
  <c r="BN877" i="97"/>
  <c r="BJ877" i="97"/>
  <c r="BF877" i="97"/>
  <c r="BB877" i="97"/>
  <c r="AX877" i="97"/>
  <c r="AT877" i="97"/>
  <c r="AP877" i="97"/>
  <c r="AL877" i="97"/>
  <c r="AH877" i="97"/>
  <c r="AD877" i="97"/>
  <c r="Z877" i="97"/>
  <c r="LI877" i="97"/>
  <c r="AA877" i="97"/>
  <c r="AI877" i="97"/>
  <c r="AQ877" i="97"/>
  <c r="AY877" i="97"/>
  <c r="BG877" i="97"/>
  <c r="BO877" i="97"/>
  <c r="BW877" i="97"/>
  <c r="CE877" i="97"/>
  <c r="CM877" i="97"/>
  <c r="CU877" i="97"/>
  <c r="DC877" i="97"/>
  <c r="DK877" i="97"/>
  <c r="DS877" i="97"/>
  <c r="EA877" i="97"/>
  <c r="EI877" i="97"/>
  <c r="EQ877" i="97"/>
  <c r="EY877" i="97"/>
  <c r="FG877" i="97"/>
  <c r="FO877" i="97"/>
  <c r="GM877" i="97"/>
  <c r="GU877" i="97"/>
  <c r="HC877" i="97"/>
  <c r="HK877" i="97"/>
  <c r="HS877" i="97"/>
  <c r="LG877" i="97"/>
  <c r="LO877" i="97"/>
  <c r="LW877" i="97"/>
  <c r="ME877" i="97"/>
  <c r="MT878" i="97"/>
  <c r="MP878" i="97"/>
  <c r="ML878" i="97"/>
  <c r="MH878" i="97"/>
  <c r="GD878" i="97"/>
  <c r="FZ878" i="97"/>
  <c r="EH878" i="97"/>
  <c r="ED878" i="97"/>
  <c r="EF878" i="97"/>
  <c r="GB878" i="97"/>
  <c r="MJ878" i="97"/>
  <c r="MR878" i="97"/>
  <c r="L879" i="97"/>
  <c r="M879" i="97" s="1"/>
  <c r="LF879" i="97"/>
  <c r="LB879" i="97"/>
  <c r="KX879" i="97"/>
  <c r="KT879" i="97"/>
  <c r="KP879" i="97"/>
  <c r="KL879" i="97"/>
  <c r="KH879" i="97"/>
  <c r="KD879" i="97"/>
  <c r="JZ879" i="97"/>
  <c r="JV879" i="97"/>
  <c r="JR879" i="97"/>
  <c r="JN879" i="97"/>
  <c r="JJ879" i="97"/>
  <c r="JF879" i="97"/>
  <c r="JB879" i="97"/>
  <c r="IX879" i="97"/>
  <c r="IT879" i="97"/>
  <c r="IP879" i="97"/>
  <c r="IL879" i="97"/>
  <c r="IH879" i="97"/>
  <c r="AE879" i="97"/>
  <c r="AM879" i="97"/>
  <c r="AU879" i="97"/>
  <c r="BC879" i="97"/>
  <c r="BK879" i="97"/>
  <c r="BS879" i="97"/>
  <c r="CA879" i="97"/>
  <c r="CI879" i="97"/>
  <c r="CQ879" i="97"/>
  <c r="CY879" i="97"/>
  <c r="DG879" i="97"/>
  <c r="DO879" i="97"/>
  <c r="DW879" i="97"/>
  <c r="EM879" i="97"/>
  <c r="EU879" i="97"/>
  <c r="FC879" i="97"/>
  <c r="FK879" i="97"/>
  <c r="FS879" i="97"/>
  <c r="GI879" i="97"/>
  <c r="GQ879" i="97"/>
  <c r="GY879" i="97"/>
  <c r="HG879" i="97"/>
  <c r="HO879" i="97"/>
  <c r="HW879" i="97"/>
  <c r="II879" i="97"/>
  <c r="IQ879" i="97"/>
  <c r="IY879" i="97"/>
  <c r="JG879" i="97"/>
  <c r="JO879" i="97"/>
  <c r="JW879" i="97"/>
  <c r="KE879" i="97"/>
  <c r="KM879" i="97"/>
  <c r="KU879" i="97"/>
  <c r="LC879" i="97"/>
  <c r="LK879" i="97"/>
  <c r="LS879" i="97"/>
  <c r="MA879" i="97"/>
  <c r="LY880" i="97"/>
  <c r="AB880" i="97"/>
  <c r="AJ880" i="97"/>
  <c r="AR880" i="97"/>
  <c r="AZ880" i="97"/>
  <c r="BH880" i="97"/>
  <c r="BP880" i="97"/>
  <c r="BX880" i="97"/>
  <c r="CF880" i="97"/>
  <c r="CN880" i="97"/>
  <c r="CV880" i="97"/>
  <c r="DD880" i="97"/>
  <c r="DL880" i="97"/>
  <c r="DU880" i="97"/>
  <c r="EK880" i="97"/>
  <c r="FA880" i="97"/>
  <c r="FQ880" i="97"/>
  <c r="GG880" i="97"/>
  <c r="GW880" i="97"/>
  <c r="HM880" i="97"/>
  <c r="LU880" i="97"/>
  <c r="MK880" i="97"/>
  <c r="MR881" i="97"/>
  <c r="X881" i="97"/>
  <c r="AN881" i="97"/>
  <c r="BD881" i="97"/>
  <c r="BT881" i="97"/>
  <c r="CJ881" i="97"/>
  <c r="CZ881" i="97"/>
  <c r="DP881" i="97"/>
  <c r="EF881" i="97"/>
  <c r="EV881" i="97"/>
  <c r="FL881" i="97"/>
  <c r="GB881" i="97"/>
  <c r="GR881" i="97"/>
  <c r="HH881" i="97"/>
  <c r="HX881" i="97"/>
  <c r="LK882" i="97"/>
  <c r="LG882" i="97"/>
  <c r="A882" i="97"/>
  <c r="LJ882" i="97"/>
  <c r="LI882" i="97"/>
  <c r="LH882" i="97"/>
  <c r="L883" i="97"/>
  <c r="M883" i="97" s="1"/>
  <c r="Y883" i="97"/>
  <c r="AO883" i="97"/>
  <c r="BE883" i="97"/>
  <c r="BU883" i="97"/>
  <c r="CK883" i="97"/>
  <c r="DA883" i="97"/>
  <c r="DQ883" i="97"/>
  <c r="EG883" i="97"/>
  <c r="EW883" i="97"/>
  <c r="FM883" i="97"/>
  <c r="GC883" i="97"/>
  <c r="GS883" i="97"/>
  <c r="HI883" i="97"/>
  <c r="HY883" i="97"/>
  <c r="IO883" i="97"/>
  <c r="JE883" i="97"/>
  <c r="JU883" i="97"/>
  <c r="KK883" i="97"/>
  <c r="LA883" i="97"/>
  <c r="MQ884" i="97"/>
  <c r="MM884" i="97"/>
  <c r="MI884" i="97"/>
  <c r="ME884" i="97"/>
  <c r="MA884" i="97"/>
  <c r="LW884" i="97"/>
  <c r="LS884" i="97"/>
  <c r="LO884" i="97"/>
  <c r="LC884" i="97"/>
  <c r="KY884" i="97"/>
  <c r="KU884" i="97"/>
  <c r="KQ884" i="97"/>
  <c r="KM884" i="97"/>
  <c r="KI884" i="97"/>
  <c r="KE884" i="97"/>
  <c r="KA884" i="97"/>
  <c r="JW884" i="97"/>
  <c r="JS884" i="97"/>
  <c r="JO884" i="97"/>
  <c r="JK884" i="97"/>
  <c r="JG884" i="97"/>
  <c r="JC884" i="97"/>
  <c r="IY884" i="97"/>
  <c r="IU884" i="97"/>
  <c r="IQ884" i="97"/>
  <c r="IM884" i="97"/>
  <c r="II884" i="97"/>
  <c r="IE884" i="97"/>
  <c r="IA884" i="97"/>
  <c r="HW884" i="97"/>
  <c r="HS884" i="97"/>
  <c r="HO884" i="97"/>
  <c r="HK884" i="97"/>
  <c r="HG884" i="97"/>
  <c r="HC884" i="97"/>
  <c r="GY884" i="97"/>
  <c r="GU884" i="97"/>
  <c r="GQ884" i="97"/>
  <c r="GM884" i="97"/>
  <c r="GI884" i="97"/>
  <c r="GE884" i="97"/>
  <c r="GA884" i="97"/>
  <c r="FW884" i="97"/>
  <c r="FS884" i="97"/>
  <c r="FO884" i="97"/>
  <c r="FK884" i="97"/>
  <c r="FG884" i="97"/>
  <c r="FC884" i="97"/>
  <c r="EY884" i="97"/>
  <c r="EU884" i="97"/>
  <c r="EQ884" i="97"/>
  <c r="EM884" i="97"/>
  <c r="EI884" i="97"/>
  <c r="EE884" i="97"/>
  <c r="EA884" i="97"/>
  <c r="DW884" i="97"/>
  <c r="DS884" i="97"/>
  <c r="DO884" i="97"/>
  <c r="DK884" i="97"/>
  <c r="DG884" i="97"/>
  <c r="DC884" i="97"/>
  <c r="CY884" i="97"/>
  <c r="CU884" i="97"/>
  <c r="CQ884" i="97"/>
  <c r="CM884" i="97"/>
  <c r="CI884" i="97"/>
  <c r="CE884" i="97"/>
  <c r="CA884" i="97"/>
  <c r="BW884" i="97"/>
  <c r="BS884" i="97"/>
  <c r="BO884" i="97"/>
  <c r="BK884" i="97"/>
  <c r="BG884" i="97"/>
  <c r="BC884" i="97"/>
  <c r="AY884" i="97"/>
  <c r="AU884" i="97"/>
  <c r="AQ884" i="97"/>
  <c r="AM884" i="97"/>
  <c r="AI884" i="97"/>
  <c r="AE884" i="97"/>
  <c r="AA884" i="97"/>
  <c r="MT884" i="97"/>
  <c r="MP884" i="97"/>
  <c r="ML884" i="97"/>
  <c r="MH884" i="97"/>
  <c r="MD884" i="97"/>
  <c r="LZ884" i="97"/>
  <c r="LV884" i="97"/>
  <c r="LR884" i="97"/>
  <c r="LN884" i="97"/>
  <c r="LF884" i="97"/>
  <c r="LB884" i="97"/>
  <c r="KX884" i="97"/>
  <c r="KT884" i="97"/>
  <c r="KP884" i="97"/>
  <c r="KL884" i="97"/>
  <c r="KH884" i="97"/>
  <c r="KD884" i="97"/>
  <c r="JZ884" i="97"/>
  <c r="JV884" i="97"/>
  <c r="JR884" i="97"/>
  <c r="JN884" i="97"/>
  <c r="JJ884" i="97"/>
  <c r="JF884" i="97"/>
  <c r="JB884" i="97"/>
  <c r="IX884" i="97"/>
  <c r="IT884" i="97"/>
  <c r="IP884" i="97"/>
  <c r="IL884" i="97"/>
  <c r="IH884" i="97"/>
  <c r="ID884" i="97"/>
  <c r="HZ884" i="97"/>
  <c r="HV884" i="97"/>
  <c r="HR884" i="97"/>
  <c r="HN884" i="97"/>
  <c r="HJ884" i="97"/>
  <c r="HF884" i="97"/>
  <c r="HB884" i="97"/>
  <c r="GX884" i="97"/>
  <c r="GT884" i="97"/>
  <c r="GP884" i="97"/>
  <c r="GL884" i="97"/>
  <c r="GH884" i="97"/>
  <c r="GD884" i="97"/>
  <c r="FZ884" i="97"/>
  <c r="FV884" i="97"/>
  <c r="FR884" i="97"/>
  <c r="FN884" i="97"/>
  <c r="FJ884" i="97"/>
  <c r="FF884" i="97"/>
  <c r="FB884" i="97"/>
  <c r="EX884" i="97"/>
  <c r="ET884" i="97"/>
  <c r="EP884" i="97"/>
  <c r="EL884" i="97"/>
  <c r="EH884" i="97"/>
  <c r="ED884" i="97"/>
  <c r="DZ884" i="97"/>
  <c r="DV884" i="97"/>
  <c r="DR884" i="97"/>
  <c r="DN884" i="97"/>
  <c r="DJ884" i="97"/>
  <c r="DF884" i="97"/>
  <c r="DB884" i="97"/>
  <c r="CX884" i="97"/>
  <c r="CT884" i="97"/>
  <c r="CP884" i="97"/>
  <c r="CL884" i="97"/>
  <c r="CH884" i="97"/>
  <c r="CD884" i="97"/>
  <c r="BZ884" i="97"/>
  <c r="BV884" i="97"/>
  <c r="BR884" i="97"/>
  <c r="BN884" i="97"/>
  <c r="BJ884" i="97"/>
  <c r="BF884" i="97"/>
  <c r="BB884" i="97"/>
  <c r="AX884" i="97"/>
  <c r="AT884" i="97"/>
  <c r="AP884" i="97"/>
  <c r="AL884" i="97"/>
  <c r="AH884" i="97"/>
  <c r="AD884" i="97"/>
  <c r="Z884" i="97"/>
  <c r="MO884" i="97"/>
  <c r="MG884" i="97"/>
  <c r="LY884" i="97"/>
  <c r="LQ884" i="97"/>
  <c r="LA884" i="97"/>
  <c r="KS884" i="97"/>
  <c r="KK884" i="97"/>
  <c r="KC884" i="97"/>
  <c r="JU884" i="97"/>
  <c r="JM884" i="97"/>
  <c r="JE884" i="97"/>
  <c r="IW884" i="97"/>
  <c r="IO884" i="97"/>
  <c r="IG884" i="97"/>
  <c r="HY884" i="97"/>
  <c r="HQ884" i="97"/>
  <c r="HI884" i="97"/>
  <c r="HA884" i="97"/>
  <c r="GS884" i="97"/>
  <c r="GK884" i="97"/>
  <c r="GC884" i="97"/>
  <c r="FU884" i="97"/>
  <c r="FM884" i="97"/>
  <c r="FE884" i="97"/>
  <c r="EW884" i="97"/>
  <c r="EO884" i="97"/>
  <c r="EG884" i="97"/>
  <c r="DY884" i="97"/>
  <c r="DQ884" i="97"/>
  <c r="DI884" i="97"/>
  <c r="DA884" i="97"/>
  <c r="CS884" i="97"/>
  <c r="CK884" i="97"/>
  <c r="CC884" i="97"/>
  <c r="BU884" i="97"/>
  <c r="BM884" i="97"/>
  <c r="BE884" i="97"/>
  <c r="AW884" i="97"/>
  <c r="AO884" i="97"/>
  <c r="AG884" i="97"/>
  <c r="Y884" i="97"/>
  <c r="MN884" i="97"/>
  <c r="MF884" i="97"/>
  <c r="LX884" i="97"/>
  <c r="LP884" i="97"/>
  <c r="KZ884" i="97"/>
  <c r="KR884" i="97"/>
  <c r="KJ884" i="97"/>
  <c r="KB884" i="97"/>
  <c r="JT884" i="97"/>
  <c r="JL884" i="97"/>
  <c r="JD884" i="97"/>
  <c r="IV884" i="97"/>
  <c r="IN884" i="97"/>
  <c r="IF884" i="97"/>
  <c r="HX884" i="97"/>
  <c r="HP884" i="97"/>
  <c r="HH884" i="97"/>
  <c r="GZ884" i="97"/>
  <c r="GR884" i="97"/>
  <c r="GJ884" i="97"/>
  <c r="GB884" i="97"/>
  <c r="FT884" i="97"/>
  <c r="FL884" i="97"/>
  <c r="FD884" i="97"/>
  <c r="EV884" i="97"/>
  <c r="EN884" i="97"/>
  <c r="EF884" i="97"/>
  <c r="DX884" i="97"/>
  <c r="DP884" i="97"/>
  <c r="DH884" i="97"/>
  <c r="CZ884" i="97"/>
  <c r="CR884" i="97"/>
  <c r="CJ884" i="97"/>
  <c r="CB884" i="97"/>
  <c r="BT884" i="97"/>
  <c r="BL884" i="97"/>
  <c r="BD884" i="97"/>
  <c r="AV884" i="97"/>
  <c r="AN884" i="97"/>
  <c r="AF884" i="97"/>
  <c r="X884" i="97"/>
  <c r="AK884" i="97"/>
  <c r="BA884" i="97"/>
  <c r="BQ884" i="97"/>
  <c r="CG884" i="97"/>
  <c r="CW884" i="97"/>
  <c r="DM884" i="97"/>
  <c r="EC884" i="97"/>
  <c r="ES884" i="97"/>
  <c r="FI884" i="97"/>
  <c r="FY884" i="97"/>
  <c r="GO884" i="97"/>
  <c r="HE884" i="97"/>
  <c r="HU884" i="97"/>
  <c r="IK884" i="97"/>
  <c r="JA884" i="97"/>
  <c r="JQ884" i="97"/>
  <c r="KG884" i="97"/>
  <c r="KW884" i="97"/>
  <c r="LM884" i="97"/>
  <c r="MC884" i="97"/>
  <c r="MS884" i="97"/>
  <c r="AF885" i="97"/>
  <c r="AV885" i="97"/>
  <c r="BL885" i="97"/>
  <c r="CB885" i="97"/>
  <c r="CR885" i="97"/>
  <c r="DH885" i="97"/>
  <c r="DX885" i="97"/>
  <c r="EN885" i="97"/>
  <c r="FD885" i="97"/>
  <c r="FT885" i="97"/>
  <c r="GJ885" i="97"/>
  <c r="HH885" i="97"/>
  <c r="IN885" i="97"/>
  <c r="JT885" i="97"/>
  <c r="LC885" i="97"/>
  <c r="MT885" i="97"/>
  <c r="ML886" i="97"/>
  <c r="MR888" i="97"/>
  <c r="MN888" i="97"/>
  <c r="MJ888" i="97"/>
  <c r="MF888" i="97"/>
  <c r="MB888" i="97"/>
  <c r="LX888" i="97"/>
  <c r="LT888" i="97"/>
  <c r="LP888" i="97"/>
  <c r="LL888" i="97"/>
  <c r="LD888" i="97"/>
  <c r="KZ888" i="97"/>
  <c r="KV888" i="97"/>
  <c r="KR888" i="97"/>
  <c r="KN888" i="97"/>
  <c r="KJ888" i="97"/>
  <c r="KF888" i="97"/>
  <c r="KB888" i="97"/>
  <c r="JX888" i="97"/>
  <c r="JT888" i="97"/>
  <c r="JP888" i="97"/>
  <c r="JL888" i="97"/>
  <c r="JH888" i="97"/>
  <c r="JD888" i="97"/>
  <c r="IZ888" i="97"/>
  <c r="IV888" i="97"/>
  <c r="IR888" i="97"/>
  <c r="IN888" i="97"/>
  <c r="IJ888" i="97"/>
  <c r="IF888" i="97"/>
  <c r="IB888" i="97"/>
  <c r="HX888" i="97"/>
  <c r="HT888" i="97"/>
  <c r="HP888" i="97"/>
  <c r="HL888" i="97"/>
  <c r="HH888" i="97"/>
  <c r="HD888" i="97"/>
  <c r="GZ888" i="97"/>
  <c r="GV888" i="97"/>
  <c r="GR888" i="97"/>
  <c r="GN888" i="97"/>
  <c r="GJ888" i="97"/>
  <c r="GF888" i="97"/>
  <c r="GB888" i="97"/>
  <c r="FX888" i="97"/>
  <c r="FT888" i="97"/>
  <c r="FP888" i="97"/>
  <c r="FL888" i="97"/>
  <c r="FH888" i="97"/>
  <c r="FD888" i="97"/>
  <c r="EZ888" i="97"/>
  <c r="EV888" i="97"/>
  <c r="ER888" i="97"/>
  <c r="EN888" i="97"/>
  <c r="EJ888" i="97"/>
  <c r="EF888" i="97"/>
  <c r="EB888" i="97"/>
  <c r="DX888" i="97"/>
  <c r="DT888" i="97"/>
  <c r="DP888" i="97"/>
  <c r="DL888" i="97"/>
  <c r="DH888" i="97"/>
  <c r="DD888" i="97"/>
  <c r="CZ888" i="97"/>
  <c r="CV888" i="97"/>
  <c r="CR888" i="97"/>
  <c r="CN888" i="97"/>
  <c r="CJ888" i="97"/>
  <c r="CF888" i="97"/>
  <c r="CB888" i="97"/>
  <c r="BX888" i="97"/>
  <c r="BT888" i="97"/>
  <c r="BP888" i="97"/>
  <c r="BL888" i="97"/>
  <c r="BH888" i="97"/>
  <c r="BD888" i="97"/>
  <c r="AZ888" i="97"/>
  <c r="AV888" i="97"/>
  <c r="AR888" i="97"/>
  <c r="AN888" i="97"/>
  <c r="AJ888" i="97"/>
  <c r="AF888" i="97"/>
  <c r="AB888" i="97"/>
  <c r="X888" i="97"/>
  <c r="MQ888" i="97"/>
  <c r="ML888" i="97"/>
  <c r="MG888" i="97"/>
  <c r="MA888" i="97"/>
  <c r="LV888" i="97"/>
  <c r="LQ888" i="97"/>
  <c r="LK888" i="97"/>
  <c r="LF888" i="97"/>
  <c r="LA888" i="97"/>
  <c r="KU888" i="97"/>
  <c r="KP888" i="97"/>
  <c r="KK888" i="97"/>
  <c r="KE888" i="97"/>
  <c r="JZ888" i="97"/>
  <c r="JU888" i="97"/>
  <c r="JO888" i="97"/>
  <c r="JJ888" i="97"/>
  <c r="JE888" i="97"/>
  <c r="IY888" i="97"/>
  <c r="IT888" i="97"/>
  <c r="IO888" i="97"/>
  <c r="II888" i="97"/>
  <c r="ID888" i="97"/>
  <c r="HY888" i="97"/>
  <c r="HS888" i="97"/>
  <c r="HN888" i="97"/>
  <c r="HI888" i="97"/>
  <c r="HC888" i="97"/>
  <c r="GX888" i="97"/>
  <c r="GS888" i="97"/>
  <c r="GM888" i="97"/>
  <c r="GH888" i="97"/>
  <c r="GC888" i="97"/>
  <c r="FW888" i="97"/>
  <c r="FR888" i="97"/>
  <c r="FM888" i="97"/>
  <c r="FG888" i="97"/>
  <c r="FB888" i="97"/>
  <c r="EW888" i="97"/>
  <c r="EQ888" i="97"/>
  <c r="EL888" i="97"/>
  <c r="EG888" i="97"/>
  <c r="EA888" i="97"/>
  <c r="DV888" i="97"/>
  <c r="DQ888" i="97"/>
  <c r="DK888" i="97"/>
  <c r="DF888" i="97"/>
  <c r="DA888" i="97"/>
  <c r="CU888" i="97"/>
  <c r="CP888" i="97"/>
  <c r="CK888" i="97"/>
  <c r="CE888" i="97"/>
  <c r="BZ888" i="97"/>
  <c r="BU888" i="97"/>
  <c r="BO888" i="97"/>
  <c r="BJ888" i="97"/>
  <c r="BE888" i="97"/>
  <c r="AY888" i="97"/>
  <c r="AT888" i="97"/>
  <c r="AO888" i="97"/>
  <c r="AI888" i="97"/>
  <c r="AD888" i="97"/>
  <c r="Y888" i="97"/>
  <c r="A888" i="97"/>
  <c r="MP888" i="97"/>
  <c r="MK888" i="97"/>
  <c r="ME888" i="97"/>
  <c r="LZ888" i="97"/>
  <c r="LU888" i="97"/>
  <c r="LO888" i="97"/>
  <c r="LJ888" i="97"/>
  <c r="LE888" i="97"/>
  <c r="KY888" i="97"/>
  <c r="KT888" i="97"/>
  <c r="KO888" i="97"/>
  <c r="KI888" i="97"/>
  <c r="KD888" i="97"/>
  <c r="JY888" i="97"/>
  <c r="JS888" i="97"/>
  <c r="JN888" i="97"/>
  <c r="JI888" i="97"/>
  <c r="JC888" i="97"/>
  <c r="IX888" i="97"/>
  <c r="IS888" i="97"/>
  <c r="IM888" i="97"/>
  <c r="IH888" i="97"/>
  <c r="IC888" i="97"/>
  <c r="HW888" i="97"/>
  <c r="HR888" i="97"/>
  <c r="HM888" i="97"/>
  <c r="HG888" i="97"/>
  <c r="HB888" i="97"/>
  <c r="GW888" i="97"/>
  <c r="GQ888" i="97"/>
  <c r="GL888" i="97"/>
  <c r="GG888" i="97"/>
  <c r="GA888" i="97"/>
  <c r="FV888" i="97"/>
  <c r="FQ888" i="97"/>
  <c r="FK888" i="97"/>
  <c r="FF888" i="97"/>
  <c r="FA888" i="97"/>
  <c r="EU888" i="97"/>
  <c r="EP888" i="97"/>
  <c r="EK888" i="97"/>
  <c r="EE888" i="97"/>
  <c r="DZ888" i="97"/>
  <c r="DU888" i="97"/>
  <c r="DO888" i="97"/>
  <c r="DJ888" i="97"/>
  <c r="DE888" i="97"/>
  <c r="CY888" i="97"/>
  <c r="CT888" i="97"/>
  <c r="CO888" i="97"/>
  <c r="CI888" i="97"/>
  <c r="CD888" i="97"/>
  <c r="BY888" i="97"/>
  <c r="BS888" i="97"/>
  <c r="BN888" i="97"/>
  <c r="BI888" i="97"/>
  <c r="BC888" i="97"/>
  <c r="AX888" i="97"/>
  <c r="AS888" i="97"/>
  <c r="AM888" i="97"/>
  <c r="AH888" i="97"/>
  <c r="AC888" i="97"/>
  <c r="MT888" i="97"/>
  <c r="MI888" i="97"/>
  <c r="LY888" i="97"/>
  <c r="LN888" i="97"/>
  <c r="LC888" i="97"/>
  <c r="KS888" i="97"/>
  <c r="KH888" i="97"/>
  <c r="JW888" i="97"/>
  <c r="JM888" i="97"/>
  <c r="JB888" i="97"/>
  <c r="IQ888" i="97"/>
  <c r="IG888" i="97"/>
  <c r="HV888" i="97"/>
  <c r="HK888" i="97"/>
  <c r="HA888" i="97"/>
  <c r="GP888" i="97"/>
  <c r="GE888" i="97"/>
  <c r="FU888" i="97"/>
  <c r="FJ888" i="97"/>
  <c r="EY888" i="97"/>
  <c r="EO888" i="97"/>
  <c r="ED888" i="97"/>
  <c r="DS888" i="97"/>
  <c r="DI888" i="97"/>
  <c r="CX888" i="97"/>
  <c r="CM888" i="97"/>
  <c r="CC888" i="97"/>
  <c r="BR888" i="97"/>
  <c r="BG888" i="97"/>
  <c r="AW888" i="97"/>
  <c r="AL888" i="97"/>
  <c r="AA888" i="97"/>
  <c r="MS888" i="97"/>
  <c r="MH888" i="97"/>
  <c r="LW888" i="97"/>
  <c r="LM888" i="97"/>
  <c r="LB888" i="97"/>
  <c r="KQ888" i="97"/>
  <c r="KG888" i="97"/>
  <c r="JV888" i="97"/>
  <c r="JK888" i="97"/>
  <c r="JA888" i="97"/>
  <c r="IP888" i="97"/>
  <c r="IE888" i="97"/>
  <c r="HU888" i="97"/>
  <c r="HJ888" i="97"/>
  <c r="GY888" i="97"/>
  <c r="GO888" i="97"/>
  <c r="GD888" i="97"/>
  <c r="FS888" i="97"/>
  <c r="FI888" i="97"/>
  <c r="EX888" i="97"/>
  <c r="EM888" i="97"/>
  <c r="EC888" i="97"/>
  <c r="DR888" i="97"/>
  <c r="DG888" i="97"/>
  <c r="CW888" i="97"/>
  <c r="CL888" i="97"/>
  <c r="CA888" i="97"/>
  <c r="BQ888" i="97"/>
  <c r="BF888" i="97"/>
  <c r="AU888" i="97"/>
  <c r="AK888" i="97"/>
  <c r="Z888" i="97"/>
  <c r="AQ888" i="97"/>
  <c r="BM888" i="97"/>
  <c r="CH888" i="97"/>
  <c r="DC888" i="97"/>
  <c r="DY888" i="97"/>
  <c r="ET888" i="97"/>
  <c r="FO888" i="97"/>
  <c r="GK888" i="97"/>
  <c r="HF888" i="97"/>
  <c r="IA888" i="97"/>
  <c r="IW888" i="97"/>
  <c r="JR888" i="97"/>
  <c r="KM888" i="97"/>
  <c r="LI888" i="97"/>
  <c r="MD888" i="97"/>
  <c r="MS887" i="97"/>
  <c r="MH887" i="97"/>
  <c r="MQ887" i="97"/>
  <c r="MG887" i="97"/>
  <c r="L887" i="97"/>
  <c r="M887" i="97" s="1"/>
  <c r="ML887" i="97"/>
  <c r="AE888" i="97"/>
  <c r="BA888" i="97"/>
  <c r="BV888" i="97"/>
  <c r="CQ888" i="97"/>
  <c r="DM888" i="97"/>
  <c r="EH888" i="97"/>
  <c r="FC888" i="97"/>
  <c r="FY888" i="97"/>
  <c r="GT888" i="97"/>
  <c r="HO888" i="97"/>
  <c r="IK888" i="97"/>
  <c r="JF888" i="97"/>
  <c r="KA888" i="97"/>
  <c r="KW888" i="97"/>
  <c r="LR888" i="97"/>
  <c r="MM888" i="97"/>
  <c r="Y868" i="97"/>
  <c r="AC868" i="97"/>
  <c r="AG868" i="97"/>
  <c r="AK868" i="97"/>
  <c r="AO868" i="97"/>
  <c r="AS868" i="97"/>
  <c r="AW868" i="97"/>
  <c r="BA868" i="97"/>
  <c r="BE868" i="97"/>
  <c r="BI868" i="97"/>
  <c r="BM868" i="97"/>
  <c r="BQ868" i="97"/>
  <c r="BU868" i="97"/>
  <c r="BY868" i="97"/>
  <c r="CC868" i="97"/>
  <c r="CG868" i="97"/>
  <c r="CK868" i="97"/>
  <c r="CO868" i="97"/>
  <c r="CS868" i="97"/>
  <c r="CW868" i="97"/>
  <c r="DA868" i="97"/>
  <c r="DE868" i="97"/>
  <c r="DI868" i="97"/>
  <c r="DM868" i="97"/>
  <c r="DQ868" i="97"/>
  <c r="DU868" i="97"/>
  <c r="DY868" i="97"/>
  <c r="EC868" i="97"/>
  <c r="EG868" i="97"/>
  <c r="EK868" i="97"/>
  <c r="EO868" i="97"/>
  <c r="ES868" i="97"/>
  <c r="EW868" i="97"/>
  <c r="FA868" i="97"/>
  <c r="FE868" i="97"/>
  <c r="FI868" i="97"/>
  <c r="FM868" i="97"/>
  <c r="FQ868" i="97"/>
  <c r="FU868" i="97"/>
  <c r="FY868" i="97"/>
  <c r="GC868" i="97"/>
  <c r="GG868" i="97"/>
  <c r="GK868" i="97"/>
  <c r="GO868" i="97"/>
  <c r="GS868" i="97"/>
  <c r="GW868" i="97"/>
  <c r="HA868" i="97"/>
  <c r="HE868" i="97"/>
  <c r="HI868" i="97"/>
  <c r="HM868" i="97"/>
  <c r="HQ868" i="97"/>
  <c r="HU868" i="97"/>
  <c r="HY868" i="97"/>
  <c r="IC868" i="97"/>
  <c r="IG868" i="97"/>
  <c r="IK868" i="97"/>
  <c r="IO868" i="97"/>
  <c r="IS868" i="97"/>
  <c r="IW868" i="97"/>
  <c r="JA868" i="97"/>
  <c r="JE868" i="97"/>
  <c r="JI868" i="97"/>
  <c r="JM868" i="97"/>
  <c r="JQ868" i="97"/>
  <c r="JU868" i="97"/>
  <c r="JY868" i="97"/>
  <c r="KC868" i="97"/>
  <c r="KG868" i="97"/>
  <c r="KK868" i="97"/>
  <c r="KO868" i="97"/>
  <c r="KS868" i="97"/>
  <c r="KW868" i="97"/>
  <c r="LA868" i="97"/>
  <c r="LE868" i="97"/>
  <c r="LM868" i="97"/>
  <c r="LQ868" i="97"/>
  <c r="LU868" i="97"/>
  <c r="LY868" i="97"/>
  <c r="MC868" i="97"/>
  <c r="MG868" i="97"/>
  <c r="MK868" i="97"/>
  <c r="MO868" i="97"/>
  <c r="Y869" i="97"/>
  <c r="AC869" i="97"/>
  <c r="AG869" i="97"/>
  <c r="AK869" i="97"/>
  <c r="AO869" i="97"/>
  <c r="AS869" i="97"/>
  <c r="AW869" i="97"/>
  <c r="BA869" i="97"/>
  <c r="BE869" i="97"/>
  <c r="BI869" i="97"/>
  <c r="BM869" i="97"/>
  <c r="BQ869" i="97"/>
  <c r="BU869" i="97"/>
  <c r="BY869" i="97"/>
  <c r="CC869" i="97"/>
  <c r="CG869" i="97"/>
  <c r="CK869" i="97"/>
  <c r="CO869" i="97"/>
  <c r="CS869" i="97"/>
  <c r="CW869" i="97"/>
  <c r="DA869" i="97"/>
  <c r="DE869" i="97"/>
  <c r="DI869" i="97"/>
  <c r="DM869" i="97"/>
  <c r="DQ869" i="97"/>
  <c r="DU869" i="97"/>
  <c r="DY869" i="97"/>
  <c r="EC869" i="97"/>
  <c r="EG869" i="97"/>
  <c r="EK869" i="97"/>
  <c r="EO869" i="97"/>
  <c r="ES869" i="97"/>
  <c r="EW869" i="97"/>
  <c r="FA869" i="97"/>
  <c r="FE869" i="97"/>
  <c r="FI869" i="97"/>
  <c r="FM869" i="97"/>
  <c r="FQ869" i="97"/>
  <c r="FU869" i="97"/>
  <c r="FY869" i="97"/>
  <c r="GC869" i="97"/>
  <c r="GG869" i="97"/>
  <c r="GK869" i="97"/>
  <c r="GO869" i="97"/>
  <c r="GS869" i="97"/>
  <c r="GW869" i="97"/>
  <c r="HA869" i="97"/>
  <c r="HE869" i="97"/>
  <c r="HI869" i="97"/>
  <c r="HM869" i="97"/>
  <c r="HQ869" i="97"/>
  <c r="HU869" i="97"/>
  <c r="HY869" i="97"/>
  <c r="IC869" i="97"/>
  <c r="IG869" i="97"/>
  <c r="IK869" i="97"/>
  <c r="IO869" i="97"/>
  <c r="IS869" i="97"/>
  <c r="IW869" i="97"/>
  <c r="JA869" i="97"/>
  <c r="JE869" i="97"/>
  <c r="JI869" i="97"/>
  <c r="JM869" i="97"/>
  <c r="JQ869" i="97"/>
  <c r="JU869" i="97"/>
  <c r="JY869" i="97"/>
  <c r="KC869" i="97"/>
  <c r="KG869" i="97"/>
  <c r="KK869" i="97"/>
  <c r="KO869" i="97"/>
  <c r="KS869" i="97"/>
  <c r="KW869" i="97"/>
  <c r="LA869" i="97"/>
  <c r="LE869" i="97"/>
  <c r="LM869" i="97"/>
  <c r="LQ869" i="97"/>
  <c r="LU869" i="97"/>
  <c r="LY869" i="97"/>
  <c r="MC869" i="97"/>
  <c r="MG869" i="97"/>
  <c r="MK869" i="97"/>
  <c r="MO869" i="97"/>
  <c r="Y870" i="97"/>
  <c r="AC870" i="97"/>
  <c r="AG870" i="97"/>
  <c r="AK870" i="97"/>
  <c r="AO870" i="97"/>
  <c r="AS870" i="97"/>
  <c r="AW870" i="97"/>
  <c r="BA870" i="97"/>
  <c r="BE870" i="97"/>
  <c r="BI870" i="97"/>
  <c r="BM870" i="97"/>
  <c r="BQ870" i="97"/>
  <c r="BU870" i="97"/>
  <c r="BY870" i="97"/>
  <c r="CC870" i="97"/>
  <c r="CG870" i="97"/>
  <c r="CK870" i="97"/>
  <c r="CO870" i="97"/>
  <c r="CS870" i="97"/>
  <c r="CW870" i="97"/>
  <c r="DA870" i="97"/>
  <c r="DE870" i="97"/>
  <c r="DI870" i="97"/>
  <c r="DM870" i="97"/>
  <c r="DQ870" i="97"/>
  <c r="DU870" i="97"/>
  <c r="DY870" i="97"/>
  <c r="EC870" i="97"/>
  <c r="EG870" i="97"/>
  <c r="EK870" i="97"/>
  <c r="EO870" i="97"/>
  <c r="ES870" i="97"/>
  <c r="EW870" i="97"/>
  <c r="FA870" i="97"/>
  <c r="FE870" i="97"/>
  <c r="FI870" i="97"/>
  <c r="FM870" i="97"/>
  <c r="FQ870" i="97"/>
  <c r="FU870" i="97"/>
  <c r="FY870" i="97"/>
  <c r="GC870" i="97"/>
  <c r="GG870" i="97"/>
  <c r="GK870" i="97"/>
  <c r="GO870" i="97"/>
  <c r="GS870" i="97"/>
  <c r="GW870" i="97"/>
  <c r="HA870" i="97"/>
  <c r="HE870" i="97"/>
  <c r="HI870" i="97"/>
  <c r="HM870" i="97"/>
  <c r="HQ870" i="97"/>
  <c r="HU870" i="97"/>
  <c r="HY870" i="97"/>
  <c r="IC870" i="97"/>
  <c r="IG870" i="97"/>
  <c r="IK870" i="97"/>
  <c r="IO870" i="97"/>
  <c r="IS870" i="97"/>
  <c r="IW870" i="97"/>
  <c r="JA870" i="97"/>
  <c r="JE870" i="97"/>
  <c r="JI870" i="97"/>
  <c r="JM870" i="97"/>
  <c r="JQ870" i="97"/>
  <c r="JU870" i="97"/>
  <c r="JY870" i="97"/>
  <c r="KC870" i="97"/>
  <c r="KG870" i="97"/>
  <c r="KK870" i="97"/>
  <c r="KO870" i="97"/>
  <c r="KS870" i="97"/>
  <c r="KW870" i="97"/>
  <c r="LA870" i="97"/>
  <c r="LE870" i="97"/>
  <c r="LM870" i="97"/>
  <c r="LQ870" i="97"/>
  <c r="LU870" i="97"/>
  <c r="LY870" i="97"/>
  <c r="MC870" i="97"/>
  <c r="MG870" i="97"/>
  <c r="MK870" i="97"/>
  <c r="MO870" i="97"/>
  <c r="Y871" i="97"/>
  <c r="AC871" i="97"/>
  <c r="AG871" i="97"/>
  <c r="AK871" i="97"/>
  <c r="AO871" i="97"/>
  <c r="AS871" i="97"/>
  <c r="AW871" i="97"/>
  <c r="BA871" i="97"/>
  <c r="BE871" i="97"/>
  <c r="BI871" i="97"/>
  <c r="BM871" i="97"/>
  <c r="BQ871" i="97"/>
  <c r="BU871" i="97"/>
  <c r="BY871" i="97"/>
  <c r="CC871" i="97"/>
  <c r="CG871" i="97"/>
  <c r="CK871" i="97"/>
  <c r="CO871" i="97"/>
  <c r="CS871" i="97"/>
  <c r="CW871" i="97"/>
  <c r="DA871" i="97"/>
  <c r="DE871" i="97"/>
  <c r="DI871" i="97"/>
  <c r="DM871" i="97"/>
  <c r="DQ871" i="97"/>
  <c r="DU871" i="97"/>
  <c r="DY871" i="97"/>
  <c r="EC871" i="97"/>
  <c r="EG871" i="97"/>
  <c r="EK871" i="97"/>
  <c r="EO871" i="97"/>
  <c r="ES871" i="97"/>
  <c r="EW871" i="97"/>
  <c r="FA871" i="97"/>
  <c r="FE871" i="97"/>
  <c r="FI871" i="97"/>
  <c r="FM871" i="97"/>
  <c r="FQ871" i="97"/>
  <c r="FU871" i="97"/>
  <c r="FY871" i="97"/>
  <c r="GC871" i="97"/>
  <c r="GG871" i="97"/>
  <c r="GK871" i="97"/>
  <c r="GO871" i="97"/>
  <c r="GS871" i="97"/>
  <c r="GW871" i="97"/>
  <c r="HA871" i="97"/>
  <c r="HE871" i="97"/>
  <c r="HI871" i="97"/>
  <c r="HM871" i="97"/>
  <c r="HQ871" i="97"/>
  <c r="HU871" i="97"/>
  <c r="HY871" i="97"/>
  <c r="IC871" i="97"/>
  <c r="IG871" i="97"/>
  <c r="IK871" i="97"/>
  <c r="IO871" i="97"/>
  <c r="IS871" i="97"/>
  <c r="IW871" i="97"/>
  <c r="JA871" i="97"/>
  <c r="JE871" i="97"/>
  <c r="JI871" i="97"/>
  <c r="JM871" i="97"/>
  <c r="JQ871" i="97"/>
  <c r="JU871" i="97"/>
  <c r="JY871" i="97"/>
  <c r="KC871" i="97"/>
  <c r="KG871" i="97"/>
  <c r="KK871" i="97"/>
  <c r="KO871" i="97"/>
  <c r="KS871" i="97"/>
  <c r="KW871" i="97"/>
  <c r="LA871" i="97"/>
  <c r="LE871" i="97"/>
  <c r="LM871" i="97"/>
  <c r="LQ871" i="97"/>
  <c r="LU871" i="97"/>
  <c r="LY871" i="97"/>
  <c r="MC871" i="97"/>
  <c r="MG871" i="97"/>
  <c r="MK871" i="97"/>
  <c r="MO871" i="97"/>
  <c r="Y872" i="97"/>
  <c r="AC872" i="97"/>
  <c r="AG872" i="97"/>
  <c r="AK872" i="97"/>
  <c r="AO872" i="97"/>
  <c r="AS872" i="97"/>
  <c r="AW872" i="97"/>
  <c r="BA872" i="97"/>
  <c r="BE872" i="97"/>
  <c r="BI872" i="97"/>
  <c r="BM872" i="97"/>
  <c r="BQ872" i="97"/>
  <c r="BU872" i="97"/>
  <c r="BY872" i="97"/>
  <c r="CC872" i="97"/>
  <c r="CG872" i="97"/>
  <c r="CK872" i="97"/>
  <c r="CO872" i="97"/>
  <c r="CS872" i="97"/>
  <c r="CW872" i="97"/>
  <c r="DA872" i="97"/>
  <c r="DE872" i="97"/>
  <c r="DI872" i="97"/>
  <c r="DM872" i="97"/>
  <c r="DQ872" i="97"/>
  <c r="DU872" i="97"/>
  <c r="DY872" i="97"/>
  <c r="EC872" i="97"/>
  <c r="EG872" i="97"/>
  <c r="EK872" i="97"/>
  <c r="EO872" i="97"/>
  <c r="ES872" i="97"/>
  <c r="EW872" i="97"/>
  <c r="FA872" i="97"/>
  <c r="FE872" i="97"/>
  <c r="FI872" i="97"/>
  <c r="FM872" i="97"/>
  <c r="FQ872" i="97"/>
  <c r="FU872" i="97"/>
  <c r="FY872" i="97"/>
  <c r="GC872" i="97"/>
  <c r="GG872" i="97"/>
  <c r="GK872" i="97"/>
  <c r="GO872" i="97"/>
  <c r="GS872" i="97"/>
  <c r="GW872" i="97"/>
  <c r="HA872" i="97"/>
  <c r="HE872" i="97"/>
  <c r="HI872" i="97"/>
  <c r="HM872" i="97"/>
  <c r="HQ872" i="97"/>
  <c r="HU872" i="97"/>
  <c r="HY872" i="97"/>
  <c r="IC872" i="97"/>
  <c r="IG872" i="97"/>
  <c r="IK872" i="97"/>
  <c r="IO872" i="97"/>
  <c r="IS872" i="97"/>
  <c r="IW872" i="97"/>
  <c r="JA872" i="97"/>
  <c r="JE872" i="97"/>
  <c r="JI872" i="97"/>
  <c r="JM872" i="97"/>
  <c r="JQ872" i="97"/>
  <c r="JU872" i="97"/>
  <c r="JY872" i="97"/>
  <c r="KC872" i="97"/>
  <c r="KG872" i="97"/>
  <c r="KK872" i="97"/>
  <c r="KO872" i="97"/>
  <c r="KS872" i="97"/>
  <c r="KW872" i="97"/>
  <c r="LA872" i="97"/>
  <c r="LE872" i="97"/>
  <c r="LM872" i="97"/>
  <c r="LQ872" i="97"/>
  <c r="LU872" i="97"/>
  <c r="LY872" i="97"/>
  <c r="MC872" i="97"/>
  <c r="MG872" i="97"/>
  <c r="MK872" i="97"/>
  <c r="MO872" i="97"/>
  <c r="Y873" i="97"/>
  <c r="AC873" i="97"/>
  <c r="AG873" i="97"/>
  <c r="AK873" i="97"/>
  <c r="AO873" i="97"/>
  <c r="AS873" i="97"/>
  <c r="AW873" i="97"/>
  <c r="BA873" i="97"/>
  <c r="BE873" i="97"/>
  <c r="BI873" i="97"/>
  <c r="BM873" i="97"/>
  <c r="BQ873" i="97"/>
  <c r="BU873" i="97"/>
  <c r="BY873" i="97"/>
  <c r="CC873" i="97"/>
  <c r="CG873" i="97"/>
  <c r="CK873" i="97"/>
  <c r="CO873" i="97"/>
  <c r="CS873" i="97"/>
  <c r="CW873" i="97"/>
  <c r="DA873" i="97"/>
  <c r="DE873" i="97"/>
  <c r="DI873" i="97"/>
  <c r="DM873" i="97"/>
  <c r="DQ873" i="97"/>
  <c r="DU873" i="97"/>
  <c r="DY873" i="97"/>
  <c r="EC873" i="97"/>
  <c r="EG873" i="97"/>
  <c r="EK873" i="97"/>
  <c r="EO873" i="97"/>
  <c r="ES873" i="97"/>
  <c r="EW873" i="97"/>
  <c r="FA873" i="97"/>
  <c r="FE873" i="97"/>
  <c r="FI873" i="97"/>
  <c r="FM873" i="97"/>
  <c r="FQ873" i="97"/>
  <c r="FU873" i="97"/>
  <c r="FY873" i="97"/>
  <c r="GC873" i="97"/>
  <c r="GG873" i="97"/>
  <c r="GK873" i="97"/>
  <c r="GO873" i="97"/>
  <c r="GS873" i="97"/>
  <c r="GW873" i="97"/>
  <c r="HA873" i="97"/>
  <c r="HE873" i="97"/>
  <c r="HI873" i="97"/>
  <c r="HM873" i="97"/>
  <c r="HQ873" i="97"/>
  <c r="HU873" i="97"/>
  <c r="HY873" i="97"/>
  <c r="IC873" i="97"/>
  <c r="IG873" i="97"/>
  <c r="IK873" i="97"/>
  <c r="IO873" i="97"/>
  <c r="IS873" i="97"/>
  <c r="IW873" i="97"/>
  <c r="JA873" i="97"/>
  <c r="JE873" i="97"/>
  <c r="JI873" i="97"/>
  <c r="JM873" i="97"/>
  <c r="JQ873" i="97"/>
  <c r="JU873" i="97"/>
  <c r="JY873" i="97"/>
  <c r="KC873" i="97"/>
  <c r="KG873" i="97"/>
  <c r="KK873" i="97"/>
  <c r="KO873" i="97"/>
  <c r="KS873" i="97"/>
  <c r="KW873" i="97"/>
  <c r="LA873" i="97"/>
  <c r="LE873" i="97"/>
  <c r="LM873" i="97"/>
  <c r="LQ873" i="97"/>
  <c r="LU873" i="97"/>
  <c r="LY873" i="97"/>
  <c r="MC873" i="97"/>
  <c r="MG873" i="97"/>
  <c r="MK873" i="97"/>
  <c r="MO873" i="97"/>
  <c r="Y874" i="97"/>
  <c r="AC874" i="97"/>
  <c r="AG874" i="97"/>
  <c r="AK874" i="97"/>
  <c r="AO874" i="97"/>
  <c r="AS874" i="97"/>
  <c r="AW874" i="97"/>
  <c r="BA874" i="97"/>
  <c r="BE874" i="97"/>
  <c r="BI874" i="97"/>
  <c r="BM874" i="97"/>
  <c r="BQ874" i="97"/>
  <c r="BU874" i="97"/>
  <c r="BY874" i="97"/>
  <c r="CC874" i="97"/>
  <c r="CG874" i="97"/>
  <c r="CK874" i="97"/>
  <c r="CO874" i="97"/>
  <c r="CS874" i="97"/>
  <c r="CW874" i="97"/>
  <c r="DA874" i="97"/>
  <c r="DE874" i="97"/>
  <c r="DI874" i="97"/>
  <c r="DM874" i="97"/>
  <c r="DQ874" i="97"/>
  <c r="DU874" i="97"/>
  <c r="DY874" i="97"/>
  <c r="EC874" i="97"/>
  <c r="EG874" i="97"/>
  <c r="EK874" i="97"/>
  <c r="EO874" i="97"/>
  <c r="ES874" i="97"/>
  <c r="EW874" i="97"/>
  <c r="FA874" i="97"/>
  <c r="FE874" i="97"/>
  <c r="FI874" i="97"/>
  <c r="FM874" i="97"/>
  <c r="FQ874" i="97"/>
  <c r="FU874" i="97"/>
  <c r="FY874" i="97"/>
  <c r="GC874" i="97"/>
  <c r="GG874" i="97"/>
  <c r="GK874" i="97"/>
  <c r="GO874" i="97"/>
  <c r="GS874" i="97"/>
  <c r="GW874" i="97"/>
  <c r="HA874" i="97"/>
  <c r="HE874" i="97"/>
  <c r="HI874" i="97"/>
  <c r="HM874" i="97"/>
  <c r="HQ874" i="97"/>
  <c r="HU874" i="97"/>
  <c r="HY874" i="97"/>
  <c r="IC874" i="97"/>
  <c r="IG874" i="97"/>
  <c r="IK874" i="97"/>
  <c r="IO874" i="97"/>
  <c r="IS874" i="97"/>
  <c r="IW874" i="97"/>
  <c r="JA874" i="97"/>
  <c r="JE874" i="97"/>
  <c r="JI874" i="97"/>
  <c r="JM874" i="97"/>
  <c r="JQ874" i="97"/>
  <c r="JU874" i="97"/>
  <c r="JY874" i="97"/>
  <c r="KC874" i="97"/>
  <c r="KG874" i="97"/>
  <c r="KK874" i="97"/>
  <c r="KO874" i="97"/>
  <c r="KS874" i="97"/>
  <c r="KW874" i="97"/>
  <c r="LA874" i="97"/>
  <c r="LE874" i="97"/>
  <c r="LM874" i="97"/>
  <c r="LQ874" i="97"/>
  <c r="LU874" i="97"/>
  <c r="LY874" i="97"/>
  <c r="MC874" i="97"/>
  <c r="MG874" i="97"/>
  <c r="MK874" i="97"/>
  <c r="MO874" i="97"/>
  <c r="Y875" i="97"/>
  <c r="AC875" i="97"/>
  <c r="AG875" i="97"/>
  <c r="AK875" i="97"/>
  <c r="AO875" i="97"/>
  <c r="AS875" i="97"/>
  <c r="AW875" i="97"/>
  <c r="BA875" i="97"/>
  <c r="BE875" i="97"/>
  <c r="BI875" i="97"/>
  <c r="BM875" i="97"/>
  <c r="BQ875" i="97"/>
  <c r="BU875" i="97"/>
  <c r="BY875" i="97"/>
  <c r="CC875" i="97"/>
  <c r="CG875" i="97"/>
  <c r="CK875" i="97"/>
  <c r="CO875" i="97"/>
  <c r="CS875" i="97"/>
  <c r="CW875" i="97"/>
  <c r="DA875" i="97"/>
  <c r="DE875" i="97"/>
  <c r="DI875" i="97"/>
  <c r="DM875" i="97"/>
  <c r="DQ875" i="97"/>
  <c r="DU875" i="97"/>
  <c r="DY875" i="97"/>
  <c r="EC875" i="97"/>
  <c r="EG875" i="97"/>
  <c r="EK875" i="97"/>
  <c r="EO875" i="97"/>
  <c r="ES875" i="97"/>
  <c r="EW875" i="97"/>
  <c r="FA875" i="97"/>
  <c r="FE875" i="97"/>
  <c r="FI875" i="97"/>
  <c r="FM875" i="97"/>
  <c r="FQ875" i="97"/>
  <c r="FU875" i="97"/>
  <c r="FY875" i="97"/>
  <c r="GC875" i="97"/>
  <c r="GG875" i="97"/>
  <c r="GK875" i="97"/>
  <c r="GO875" i="97"/>
  <c r="GS875" i="97"/>
  <c r="GW875" i="97"/>
  <c r="HA875" i="97"/>
  <c r="HE875" i="97"/>
  <c r="HI875" i="97"/>
  <c r="HM875" i="97"/>
  <c r="HQ875" i="97"/>
  <c r="HU875" i="97"/>
  <c r="HY875" i="97"/>
  <c r="IC875" i="97"/>
  <c r="IG875" i="97"/>
  <c r="IK875" i="97"/>
  <c r="IO875" i="97"/>
  <c r="IS875" i="97"/>
  <c r="IW875" i="97"/>
  <c r="JA875" i="97"/>
  <c r="JE875" i="97"/>
  <c r="JI875" i="97"/>
  <c r="JM875" i="97"/>
  <c r="JQ875" i="97"/>
  <c r="JU875" i="97"/>
  <c r="JY875" i="97"/>
  <c r="KC875" i="97"/>
  <c r="KG875" i="97"/>
  <c r="KK875" i="97"/>
  <c r="KO875" i="97"/>
  <c r="KS875" i="97"/>
  <c r="KW875" i="97"/>
  <c r="LA875" i="97"/>
  <c r="LE875" i="97"/>
  <c r="LM875" i="97"/>
  <c r="LQ875" i="97"/>
  <c r="LU875" i="97"/>
  <c r="LY875" i="97"/>
  <c r="MC875" i="97"/>
  <c r="MG875" i="97"/>
  <c r="MK875" i="97"/>
  <c r="MO875" i="97"/>
  <c r="Y876" i="97"/>
  <c r="AC876" i="97"/>
  <c r="AG876" i="97"/>
  <c r="AK876" i="97"/>
  <c r="AO876" i="97"/>
  <c r="AS876" i="97"/>
  <c r="AW876" i="97"/>
  <c r="BA876" i="97"/>
  <c r="BE876" i="97"/>
  <c r="BI876" i="97"/>
  <c r="BM876" i="97"/>
  <c r="BQ876" i="97"/>
  <c r="BU876" i="97"/>
  <c r="BY876" i="97"/>
  <c r="CC876" i="97"/>
  <c r="CG876" i="97"/>
  <c r="CK876" i="97"/>
  <c r="CO876" i="97"/>
  <c r="CS876" i="97"/>
  <c r="CW876" i="97"/>
  <c r="DA876" i="97"/>
  <c r="DE876" i="97"/>
  <c r="DI876" i="97"/>
  <c r="DM876" i="97"/>
  <c r="DQ876" i="97"/>
  <c r="DU876" i="97"/>
  <c r="DY876" i="97"/>
  <c r="EC876" i="97"/>
  <c r="EG876" i="97"/>
  <c r="EK876" i="97"/>
  <c r="EO876" i="97"/>
  <c r="ES876" i="97"/>
  <c r="EW876" i="97"/>
  <c r="FA876" i="97"/>
  <c r="FE876" i="97"/>
  <c r="FI876" i="97"/>
  <c r="FM876" i="97"/>
  <c r="FQ876" i="97"/>
  <c r="FU876" i="97"/>
  <c r="FY876" i="97"/>
  <c r="GC876" i="97"/>
  <c r="GG876" i="97"/>
  <c r="GK876" i="97"/>
  <c r="GO876" i="97"/>
  <c r="GS876" i="97"/>
  <c r="GW876" i="97"/>
  <c r="HA876" i="97"/>
  <c r="HE876" i="97"/>
  <c r="HI876" i="97"/>
  <c r="HM876" i="97"/>
  <c r="HQ876" i="97"/>
  <c r="HU876" i="97"/>
  <c r="HY876" i="97"/>
  <c r="IC876" i="97"/>
  <c r="IG876" i="97"/>
  <c r="IK876" i="97"/>
  <c r="IO876" i="97"/>
  <c r="IS876" i="97"/>
  <c r="IW876" i="97"/>
  <c r="JA876" i="97"/>
  <c r="JE876" i="97"/>
  <c r="JI876" i="97"/>
  <c r="JM876" i="97"/>
  <c r="JQ876" i="97"/>
  <c r="JU876" i="97"/>
  <c r="JY876" i="97"/>
  <c r="KC876" i="97"/>
  <c r="KG876" i="97"/>
  <c r="KK876" i="97"/>
  <c r="KO876" i="97"/>
  <c r="KS876" i="97"/>
  <c r="KW876" i="97"/>
  <c r="LA876" i="97"/>
  <c r="LE876" i="97"/>
  <c r="LM876" i="97"/>
  <c r="LQ876" i="97"/>
  <c r="LU876" i="97"/>
  <c r="LY876" i="97"/>
  <c r="MC876" i="97"/>
  <c r="MG876" i="97"/>
  <c r="MK876" i="97"/>
  <c r="MO876" i="97"/>
  <c r="Y877" i="97"/>
  <c r="AC877" i="97"/>
  <c r="AG877" i="97"/>
  <c r="AK877" i="97"/>
  <c r="AO877" i="97"/>
  <c r="AS877" i="97"/>
  <c r="AW877" i="97"/>
  <c r="BA877" i="97"/>
  <c r="BE877" i="97"/>
  <c r="BI877" i="97"/>
  <c r="BM877" i="97"/>
  <c r="BQ877" i="97"/>
  <c r="BU877" i="97"/>
  <c r="BY877" i="97"/>
  <c r="CC877" i="97"/>
  <c r="CG877" i="97"/>
  <c r="CK877" i="97"/>
  <c r="CO877" i="97"/>
  <c r="CS877" i="97"/>
  <c r="CW877" i="97"/>
  <c r="DA877" i="97"/>
  <c r="DE877" i="97"/>
  <c r="DI877" i="97"/>
  <c r="DM877" i="97"/>
  <c r="DQ877" i="97"/>
  <c r="DU877" i="97"/>
  <c r="DY877" i="97"/>
  <c r="EC877" i="97"/>
  <c r="EG877" i="97"/>
  <c r="EK877" i="97"/>
  <c r="EO877" i="97"/>
  <c r="ES877" i="97"/>
  <c r="EW877" i="97"/>
  <c r="FA877" i="97"/>
  <c r="FE877" i="97"/>
  <c r="FI877" i="97"/>
  <c r="FM877" i="97"/>
  <c r="FQ877" i="97"/>
  <c r="FU877" i="97"/>
  <c r="FY877" i="97"/>
  <c r="GC877" i="97"/>
  <c r="GG877" i="97"/>
  <c r="GK877" i="97"/>
  <c r="GO877" i="97"/>
  <c r="GS877" i="97"/>
  <c r="GW877" i="97"/>
  <c r="HA877" i="97"/>
  <c r="HE877" i="97"/>
  <c r="HI877" i="97"/>
  <c r="HM877" i="97"/>
  <c r="HQ877" i="97"/>
  <c r="HU877" i="97"/>
  <c r="HY877" i="97"/>
  <c r="IC877" i="97"/>
  <c r="IG877" i="97"/>
  <c r="IK877" i="97"/>
  <c r="IO877" i="97"/>
  <c r="IS877" i="97"/>
  <c r="IW877" i="97"/>
  <c r="JA877" i="97"/>
  <c r="JE877" i="97"/>
  <c r="JI877" i="97"/>
  <c r="JM877" i="97"/>
  <c r="JQ877" i="97"/>
  <c r="JU877" i="97"/>
  <c r="JY877" i="97"/>
  <c r="KC877" i="97"/>
  <c r="KG877" i="97"/>
  <c r="KK877" i="97"/>
  <c r="KO877" i="97"/>
  <c r="KS877" i="97"/>
  <c r="KW877" i="97"/>
  <c r="LA877" i="97"/>
  <c r="LE877" i="97"/>
  <c r="LM877" i="97"/>
  <c r="LQ877" i="97"/>
  <c r="LU877" i="97"/>
  <c r="LY877" i="97"/>
  <c r="MC877" i="97"/>
  <c r="MG877" i="97"/>
  <c r="MK877" i="97"/>
  <c r="MO877" i="97"/>
  <c r="Y878" i="97"/>
  <c r="AC878" i="97"/>
  <c r="AG878" i="97"/>
  <c r="AK878" i="97"/>
  <c r="AO878" i="97"/>
  <c r="AS878" i="97"/>
  <c r="AW878" i="97"/>
  <c r="BA878" i="97"/>
  <c r="BE878" i="97"/>
  <c r="BI878" i="97"/>
  <c r="BM878" i="97"/>
  <c r="BQ878" i="97"/>
  <c r="BU878" i="97"/>
  <c r="BY878" i="97"/>
  <c r="CC878" i="97"/>
  <c r="CG878" i="97"/>
  <c r="CK878" i="97"/>
  <c r="CO878" i="97"/>
  <c r="CS878" i="97"/>
  <c r="CW878" i="97"/>
  <c r="DA878" i="97"/>
  <c r="DE878" i="97"/>
  <c r="DI878" i="97"/>
  <c r="DM878" i="97"/>
  <c r="DQ878" i="97"/>
  <c r="DU878" i="97"/>
  <c r="DY878" i="97"/>
  <c r="EC878" i="97"/>
  <c r="EG878" i="97"/>
  <c r="EK878" i="97"/>
  <c r="EO878" i="97"/>
  <c r="ES878" i="97"/>
  <c r="EW878" i="97"/>
  <c r="FA878" i="97"/>
  <c r="FE878" i="97"/>
  <c r="FI878" i="97"/>
  <c r="FM878" i="97"/>
  <c r="FQ878" i="97"/>
  <c r="FU878" i="97"/>
  <c r="FY878" i="97"/>
  <c r="GC878" i="97"/>
  <c r="GG878" i="97"/>
  <c r="GK878" i="97"/>
  <c r="GO878" i="97"/>
  <c r="GS878" i="97"/>
  <c r="GW878" i="97"/>
  <c r="HA878" i="97"/>
  <c r="HE878" i="97"/>
  <c r="HI878" i="97"/>
  <c r="HM878" i="97"/>
  <c r="HQ878" i="97"/>
  <c r="HU878" i="97"/>
  <c r="HY878" i="97"/>
  <c r="IC878" i="97"/>
  <c r="IG878" i="97"/>
  <c r="IK878" i="97"/>
  <c r="IO878" i="97"/>
  <c r="IS878" i="97"/>
  <c r="IW878" i="97"/>
  <c r="JA878" i="97"/>
  <c r="JE878" i="97"/>
  <c r="JI878" i="97"/>
  <c r="JM878" i="97"/>
  <c r="JQ878" i="97"/>
  <c r="JU878" i="97"/>
  <c r="JY878" i="97"/>
  <c r="KC878" i="97"/>
  <c r="KG878" i="97"/>
  <c r="KK878" i="97"/>
  <c r="KO878" i="97"/>
  <c r="KS878" i="97"/>
  <c r="KW878" i="97"/>
  <c r="LA878" i="97"/>
  <c r="LE878" i="97"/>
  <c r="LM878" i="97"/>
  <c r="LQ878" i="97"/>
  <c r="LU878" i="97"/>
  <c r="LY878" i="97"/>
  <c r="MC878" i="97"/>
  <c r="MG878" i="97"/>
  <c r="MK878" i="97"/>
  <c r="MO878" i="97"/>
  <c r="Y879" i="97"/>
  <c r="AC879" i="97"/>
  <c r="AG879" i="97"/>
  <c r="AK879" i="97"/>
  <c r="AO879" i="97"/>
  <c r="AS879" i="97"/>
  <c r="AW879" i="97"/>
  <c r="BA879" i="97"/>
  <c r="BE879" i="97"/>
  <c r="BI879" i="97"/>
  <c r="BM879" i="97"/>
  <c r="BQ879" i="97"/>
  <c r="BU879" i="97"/>
  <c r="BY879" i="97"/>
  <c r="CC879" i="97"/>
  <c r="CG879" i="97"/>
  <c r="CK879" i="97"/>
  <c r="CO879" i="97"/>
  <c r="CS879" i="97"/>
  <c r="CW879" i="97"/>
  <c r="DA879" i="97"/>
  <c r="DE879" i="97"/>
  <c r="DI879" i="97"/>
  <c r="DM879" i="97"/>
  <c r="DQ879" i="97"/>
  <c r="DU879" i="97"/>
  <c r="DY879" i="97"/>
  <c r="EC879" i="97"/>
  <c r="EG879" i="97"/>
  <c r="EK879" i="97"/>
  <c r="EO879" i="97"/>
  <c r="ES879" i="97"/>
  <c r="EW879" i="97"/>
  <c r="FA879" i="97"/>
  <c r="FE879" i="97"/>
  <c r="FI879" i="97"/>
  <c r="FM879" i="97"/>
  <c r="FQ879" i="97"/>
  <c r="FU879" i="97"/>
  <c r="FY879" i="97"/>
  <c r="GC879" i="97"/>
  <c r="GG879" i="97"/>
  <c r="GK879" i="97"/>
  <c r="GO879" i="97"/>
  <c r="GS879" i="97"/>
  <c r="GW879" i="97"/>
  <c r="HA879" i="97"/>
  <c r="HE879" i="97"/>
  <c r="HI879" i="97"/>
  <c r="HM879" i="97"/>
  <c r="HQ879" i="97"/>
  <c r="HU879" i="97"/>
  <c r="HY879" i="97"/>
  <c r="IC879" i="97"/>
  <c r="IG879" i="97"/>
  <c r="IK879" i="97"/>
  <c r="IO879" i="97"/>
  <c r="IS879" i="97"/>
  <c r="IW879" i="97"/>
  <c r="JA879" i="97"/>
  <c r="JE879" i="97"/>
  <c r="JI879" i="97"/>
  <c r="JM879" i="97"/>
  <c r="JQ879" i="97"/>
  <c r="JU879" i="97"/>
  <c r="JY879" i="97"/>
  <c r="KC879" i="97"/>
  <c r="KG879" i="97"/>
  <c r="KK879" i="97"/>
  <c r="KO879" i="97"/>
  <c r="KS879" i="97"/>
  <c r="KW879" i="97"/>
  <c r="LA879" i="97"/>
  <c r="LE879" i="97"/>
  <c r="LM879" i="97"/>
  <c r="LQ879" i="97"/>
  <c r="LU879" i="97"/>
  <c r="LY879" i="97"/>
  <c r="MC879" i="97"/>
  <c r="MG879" i="97"/>
  <c r="MK879" i="97"/>
  <c r="MO879" i="97"/>
  <c r="MS879" i="97"/>
  <c r="MQ880" i="97"/>
  <c r="MM880" i="97"/>
  <c r="MI880" i="97"/>
  <c r="ME880" i="97"/>
  <c r="MA880" i="97"/>
  <c r="LW880" i="97"/>
  <c r="LS880" i="97"/>
  <c r="LO880" i="97"/>
  <c r="LC880" i="97"/>
  <c r="KY880" i="97"/>
  <c r="KU880" i="97"/>
  <c r="KQ880" i="97"/>
  <c r="KM880" i="97"/>
  <c r="KI880" i="97"/>
  <c r="KE880" i="97"/>
  <c r="KA880" i="97"/>
  <c r="JW880" i="97"/>
  <c r="JS880" i="97"/>
  <c r="JO880" i="97"/>
  <c r="JK880" i="97"/>
  <c r="JG880" i="97"/>
  <c r="JC880" i="97"/>
  <c r="IY880" i="97"/>
  <c r="IU880" i="97"/>
  <c r="IQ880" i="97"/>
  <c r="IM880" i="97"/>
  <c r="II880" i="97"/>
  <c r="IE880" i="97"/>
  <c r="IA880" i="97"/>
  <c r="HW880" i="97"/>
  <c r="HS880" i="97"/>
  <c r="HO880" i="97"/>
  <c r="HK880" i="97"/>
  <c r="HG880" i="97"/>
  <c r="HC880" i="97"/>
  <c r="GY880" i="97"/>
  <c r="GU880" i="97"/>
  <c r="GQ880" i="97"/>
  <c r="GM880" i="97"/>
  <c r="GI880" i="97"/>
  <c r="GE880" i="97"/>
  <c r="GA880" i="97"/>
  <c r="FW880" i="97"/>
  <c r="FS880" i="97"/>
  <c r="FO880" i="97"/>
  <c r="FK880" i="97"/>
  <c r="FG880" i="97"/>
  <c r="FC880" i="97"/>
  <c r="EY880" i="97"/>
  <c r="EU880" i="97"/>
  <c r="EQ880" i="97"/>
  <c r="EM880" i="97"/>
  <c r="EI880" i="97"/>
  <c r="EE880" i="97"/>
  <c r="EA880" i="97"/>
  <c r="DW880" i="97"/>
  <c r="DS880" i="97"/>
  <c r="MT880" i="97"/>
  <c r="MP880" i="97"/>
  <c r="ML880" i="97"/>
  <c r="MH880" i="97"/>
  <c r="MD880" i="97"/>
  <c r="LZ880" i="97"/>
  <c r="LV880" i="97"/>
  <c r="LR880" i="97"/>
  <c r="LN880" i="97"/>
  <c r="LF880" i="97"/>
  <c r="LB880" i="97"/>
  <c r="KX880" i="97"/>
  <c r="KT880" i="97"/>
  <c r="KP880" i="97"/>
  <c r="KL880" i="97"/>
  <c r="KH880" i="97"/>
  <c r="KD880" i="97"/>
  <c r="JZ880" i="97"/>
  <c r="JV880" i="97"/>
  <c r="JR880" i="97"/>
  <c r="JN880" i="97"/>
  <c r="JJ880" i="97"/>
  <c r="JF880" i="97"/>
  <c r="JB880" i="97"/>
  <c r="IX880" i="97"/>
  <c r="IT880" i="97"/>
  <c r="IP880" i="97"/>
  <c r="IL880" i="97"/>
  <c r="IH880" i="97"/>
  <c r="ID880" i="97"/>
  <c r="HZ880" i="97"/>
  <c r="HV880" i="97"/>
  <c r="HR880" i="97"/>
  <c r="HN880" i="97"/>
  <c r="HJ880" i="97"/>
  <c r="HF880" i="97"/>
  <c r="HB880" i="97"/>
  <c r="GX880" i="97"/>
  <c r="GT880" i="97"/>
  <c r="GP880" i="97"/>
  <c r="GL880" i="97"/>
  <c r="GH880" i="97"/>
  <c r="GD880" i="97"/>
  <c r="FZ880" i="97"/>
  <c r="FV880" i="97"/>
  <c r="FR880" i="97"/>
  <c r="FN880" i="97"/>
  <c r="FJ880" i="97"/>
  <c r="FF880" i="97"/>
  <c r="FB880" i="97"/>
  <c r="EX880" i="97"/>
  <c r="ET880" i="97"/>
  <c r="EP880" i="97"/>
  <c r="EL880" i="97"/>
  <c r="EH880" i="97"/>
  <c r="ED880" i="97"/>
  <c r="DZ880" i="97"/>
  <c r="DV880" i="97"/>
  <c r="Y880" i="97"/>
  <c r="AC880" i="97"/>
  <c r="AG880" i="97"/>
  <c r="AK880" i="97"/>
  <c r="AO880" i="97"/>
  <c r="AS880" i="97"/>
  <c r="AW880" i="97"/>
  <c r="BA880" i="97"/>
  <c r="BE880" i="97"/>
  <c r="BI880" i="97"/>
  <c r="BM880" i="97"/>
  <c r="BQ880" i="97"/>
  <c r="BU880" i="97"/>
  <c r="BY880" i="97"/>
  <c r="CC880" i="97"/>
  <c r="CG880" i="97"/>
  <c r="CK880" i="97"/>
  <c r="CO880" i="97"/>
  <c r="CS880" i="97"/>
  <c r="CW880" i="97"/>
  <c r="DA880" i="97"/>
  <c r="DE880" i="97"/>
  <c r="DI880" i="97"/>
  <c r="DM880" i="97"/>
  <c r="DQ880" i="97"/>
  <c r="DX880" i="97"/>
  <c r="EF880" i="97"/>
  <c r="EN880" i="97"/>
  <c r="EV880" i="97"/>
  <c r="FD880" i="97"/>
  <c r="FL880" i="97"/>
  <c r="FT880" i="97"/>
  <c r="GB880" i="97"/>
  <c r="GJ880" i="97"/>
  <c r="GR880" i="97"/>
  <c r="GZ880" i="97"/>
  <c r="HH880" i="97"/>
  <c r="HP880" i="97"/>
  <c r="HX880" i="97"/>
  <c r="IF880" i="97"/>
  <c r="IN880" i="97"/>
  <c r="IV880" i="97"/>
  <c r="JD880" i="97"/>
  <c r="JL880" i="97"/>
  <c r="JT880" i="97"/>
  <c r="KB880" i="97"/>
  <c r="KJ880" i="97"/>
  <c r="KR880" i="97"/>
  <c r="KZ880" i="97"/>
  <c r="LP880" i="97"/>
  <c r="LX880" i="97"/>
  <c r="MF880" i="97"/>
  <c r="MN880" i="97"/>
  <c r="LK881" i="97"/>
  <c r="LG881" i="97"/>
  <c r="A881" i="97"/>
  <c r="LJ881" i="97"/>
  <c r="AB881" i="97"/>
  <c r="AJ881" i="97"/>
  <c r="AR881" i="97"/>
  <c r="AZ881" i="97"/>
  <c r="BH881" i="97"/>
  <c r="BP881" i="97"/>
  <c r="BX881" i="97"/>
  <c r="CF881" i="97"/>
  <c r="CN881" i="97"/>
  <c r="CV881" i="97"/>
  <c r="DD881" i="97"/>
  <c r="DL881" i="97"/>
  <c r="DT881" i="97"/>
  <c r="EB881" i="97"/>
  <c r="EJ881" i="97"/>
  <c r="ER881" i="97"/>
  <c r="EZ881" i="97"/>
  <c r="FH881" i="97"/>
  <c r="FP881" i="97"/>
  <c r="FX881" i="97"/>
  <c r="GF881" i="97"/>
  <c r="GN881" i="97"/>
  <c r="GV881" i="97"/>
  <c r="HD881" i="97"/>
  <c r="HL881" i="97"/>
  <c r="HT881" i="97"/>
  <c r="IB881" i="97"/>
  <c r="IJ881" i="97"/>
  <c r="IR881" i="97"/>
  <c r="IZ881" i="97"/>
  <c r="JH881" i="97"/>
  <c r="JP881" i="97"/>
  <c r="JX881" i="97"/>
  <c r="KF881" i="97"/>
  <c r="KN881" i="97"/>
  <c r="KV881" i="97"/>
  <c r="LD881" i="97"/>
  <c r="LL881" i="97"/>
  <c r="LT881" i="97"/>
  <c r="MB881" i="97"/>
  <c r="MJ881" i="97"/>
  <c r="L882" i="97"/>
  <c r="LK883" i="97"/>
  <c r="LG883" i="97"/>
  <c r="A883" i="97"/>
  <c r="LJ883" i="97"/>
  <c r="AB883" i="97"/>
  <c r="AJ883" i="97"/>
  <c r="AR883" i="97"/>
  <c r="AZ883" i="97"/>
  <c r="BH883" i="97"/>
  <c r="BP883" i="97"/>
  <c r="BX883" i="97"/>
  <c r="CF883" i="97"/>
  <c r="CN883" i="97"/>
  <c r="CV883" i="97"/>
  <c r="DD883" i="97"/>
  <c r="DL883" i="97"/>
  <c r="DT883" i="97"/>
  <c r="EB883" i="97"/>
  <c r="EJ883" i="97"/>
  <c r="ER883" i="97"/>
  <c r="EZ883" i="97"/>
  <c r="FH883" i="97"/>
  <c r="FP883" i="97"/>
  <c r="FX883" i="97"/>
  <c r="GF883" i="97"/>
  <c r="GN883" i="97"/>
  <c r="GV883" i="97"/>
  <c r="HD883" i="97"/>
  <c r="HL883" i="97"/>
  <c r="HT883" i="97"/>
  <c r="IB883" i="97"/>
  <c r="IJ883" i="97"/>
  <c r="IR883" i="97"/>
  <c r="IZ883" i="97"/>
  <c r="JH883" i="97"/>
  <c r="JP883" i="97"/>
  <c r="JX883" i="97"/>
  <c r="KF883" i="97"/>
  <c r="KN883" i="97"/>
  <c r="KV883" i="97"/>
  <c r="LD883" i="97"/>
  <c r="LL883" i="97"/>
  <c r="LT883" i="97"/>
  <c r="MB883" i="97"/>
  <c r="MJ883" i="97"/>
  <c r="L884" i="97"/>
  <c r="M884" i="97" s="1"/>
  <c r="LH885" i="97"/>
  <c r="LG885" i="97"/>
  <c r="A885" i="97"/>
  <c r="LK885" i="97"/>
  <c r="AB885" i="97"/>
  <c r="AJ885" i="97"/>
  <c r="AR885" i="97"/>
  <c r="AZ885" i="97"/>
  <c r="BH885" i="97"/>
  <c r="BP885" i="97"/>
  <c r="BX885" i="97"/>
  <c r="CF885" i="97"/>
  <c r="CN885" i="97"/>
  <c r="CV885" i="97"/>
  <c r="DD885" i="97"/>
  <c r="DL885" i="97"/>
  <c r="DT885" i="97"/>
  <c r="EB885" i="97"/>
  <c r="EJ885" i="97"/>
  <c r="ER885" i="97"/>
  <c r="EZ885" i="97"/>
  <c r="FH885" i="97"/>
  <c r="FP885" i="97"/>
  <c r="FX885" i="97"/>
  <c r="GF885" i="97"/>
  <c r="GN885" i="97"/>
  <c r="GV885" i="97"/>
  <c r="HD885" i="97"/>
  <c r="HL885" i="97"/>
  <c r="HT885" i="97"/>
  <c r="IB885" i="97"/>
  <c r="IJ885" i="97"/>
  <c r="IR885" i="97"/>
  <c r="IZ885" i="97"/>
  <c r="JH885" i="97"/>
  <c r="JP885" i="97"/>
  <c r="JX885" i="97"/>
  <c r="KF885" i="97"/>
  <c r="KN885" i="97"/>
  <c r="KX885" i="97"/>
  <c r="LI885" i="97"/>
  <c r="LS885" i="97"/>
  <c r="MD885" i="97"/>
  <c r="IH886" i="97"/>
  <c r="IU886" i="97"/>
  <c r="JJ886" i="97"/>
  <c r="JY886" i="97"/>
  <c r="KL886" i="97"/>
  <c r="LF886" i="97"/>
  <c r="EC887" i="97"/>
  <c r="DR887" i="97"/>
  <c r="DG887" i="97"/>
  <c r="CW887" i="97"/>
  <c r="CL887" i="97"/>
  <c r="CA887" i="97"/>
  <c r="BQ887" i="97"/>
  <c r="EA887" i="97"/>
  <c r="DQ887" i="97"/>
  <c r="DF887" i="97"/>
  <c r="CU887" i="97"/>
  <c r="CK887" i="97"/>
  <c r="BZ887" i="97"/>
  <c r="BO887" i="97"/>
  <c r="CG887" i="97"/>
  <c r="DB887" i="97"/>
  <c r="DW887" i="97"/>
  <c r="MM887" i="97"/>
  <c r="AG888" i="97"/>
  <c r="BB888" i="97"/>
  <c r="BW888" i="97"/>
  <c r="CS888" i="97"/>
  <c r="DN888" i="97"/>
  <c r="EI888" i="97"/>
  <c r="FE888" i="97"/>
  <c r="FZ888" i="97"/>
  <c r="GU888" i="97"/>
  <c r="HQ888" i="97"/>
  <c r="IL888" i="97"/>
  <c r="JG888" i="97"/>
  <c r="KC888" i="97"/>
  <c r="KX888" i="97"/>
  <c r="LS888" i="97"/>
  <c r="MO888" i="97"/>
  <c r="GH873" i="97"/>
  <c r="GL873" i="97"/>
  <c r="GP873" i="97"/>
  <c r="GT873" i="97"/>
  <c r="GX873" i="97"/>
  <c r="HB873" i="97"/>
  <c r="HF873" i="97"/>
  <c r="HJ873" i="97"/>
  <c r="HN873" i="97"/>
  <c r="HR873" i="97"/>
  <c r="HV873" i="97"/>
  <c r="LR873" i="97"/>
  <c r="LV873" i="97"/>
  <c r="LZ873" i="97"/>
  <c r="GH874" i="97"/>
  <c r="GL874" i="97"/>
  <c r="GP874" i="97"/>
  <c r="GT874" i="97"/>
  <c r="GX874" i="97"/>
  <c r="HB874" i="97"/>
  <c r="HF874" i="97"/>
  <c r="HJ874" i="97"/>
  <c r="HN874" i="97"/>
  <c r="HR874" i="97"/>
  <c r="HV874" i="97"/>
  <c r="LR874" i="97"/>
  <c r="LV874" i="97"/>
  <c r="LZ874" i="97"/>
  <c r="GH875" i="97"/>
  <c r="GL875" i="97"/>
  <c r="GP875" i="97"/>
  <c r="GT875" i="97"/>
  <c r="GX875" i="97"/>
  <c r="HB875" i="97"/>
  <c r="HF875" i="97"/>
  <c r="HJ875" i="97"/>
  <c r="HN875" i="97"/>
  <c r="HR875" i="97"/>
  <c r="HV875" i="97"/>
  <c r="LR875" i="97"/>
  <c r="LV875" i="97"/>
  <c r="LZ875" i="97"/>
  <c r="GH876" i="97"/>
  <c r="GL876" i="97"/>
  <c r="GP876" i="97"/>
  <c r="GT876" i="97"/>
  <c r="GX876" i="97"/>
  <c r="HB876" i="97"/>
  <c r="HF876" i="97"/>
  <c r="HJ876" i="97"/>
  <c r="HN876" i="97"/>
  <c r="HR876" i="97"/>
  <c r="HV876" i="97"/>
  <c r="LR876" i="97"/>
  <c r="LV876" i="97"/>
  <c r="LZ876" i="97"/>
  <c r="GH877" i="97"/>
  <c r="GL877" i="97"/>
  <c r="GP877" i="97"/>
  <c r="GT877" i="97"/>
  <c r="GX877" i="97"/>
  <c r="HB877" i="97"/>
  <c r="HF877" i="97"/>
  <c r="HJ877" i="97"/>
  <c r="HN877" i="97"/>
  <c r="HR877" i="97"/>
  <c r="HV877" i="97"/>
  <c r="LR877" i="97"/>
  <c r="LV877" i="97"/>
  <c r="LZ877" i="97"/>
  <c r="GH878" i="97"/>
  <c r="GL878" i="97"/>
  <c r="GP878" i="97"/>
  <c r="GT878" i="97"/>
  <c r="GX878" i="97"/>
  <c r="HB878" i="97"/>
  <c r="HF878" i="97"/>
  <c r="HJ878" i="97"/>
  <c r="HN878" i="97"/>
  <c r="HR878" i="97"/>
  <c r="HV878" i="97"/>
  <c r="LR878" i="97"/>
  <c r="LV878" i="97"/>
  <c r="LZ878" i="97"/>
  <c r="GH879" i="97"/>
  <c r="GL879" i="97"/>
  <c r="GP879" i="97"/>
  <c r="GT879" i="97"/>
  <c r="GX879" i="97"/>
  <c r="HB879" i="97"/>
  <c r="HF879" i="97"/>
  <c r="HJ879" i="97"/>
  <c r="HN879" i="97"/>
  <c r="HR879" i="97"/>
  <c r="HV879" i="97"/>
  <c r="LR879" i="97"/>
  <c r="LV879" i="97"/>
  <c r="LZ879" i="97"/>
  <c r="MH879" i="97"/>
  <c r="ML879" i="97"/>
  <c r="MP879" i="97"/>
  <c r="GK880" i="97"/>
  <c r="GS880" i="97"/>
  <c r="HA880" i="97"/>
  <c r="HI880" i="97"/>
  <c r="HQ880" i="97"/>
  <c r="HY880" i="97"/>
  <c r="LQ880" i="97"/>
  <c r="MQ881" i="97"/>
  <c r="MM881" i="97"/>
  <c r="MI881" i="97"/>
  <c r="ME881" i="97"/>
  <c r="MA881" i="97"/>
  <c r="LW881" i="97"/>
  <c r="LS881" i="97"/>
  <c r="LO881" i="97"/>
  <c r="LC881" i="97"/>
  <c r="KY881" i="97"/>
  <c r="KU881" i="97"/>
  <c r="KQ881" i="97"/>
  <c r="KM881" i="97"/>
  <c r="KI881" i="97"/>
  <c r="KE881" i="97"/>
  <c r="KA881" i="97"/>
  <c r="JW881" i="97"/>
  <c r="JS881" i="97"/>
  <c r="JO881" i="97"/>
  <c r="JK881" i="97"/>
  <c r="JG881" i="97"/>
  <c r="JC881" i="97"/>
  <c r="IY881" i="97"/>
  <c r="IU881" i="97"/>
  <c r="IQ881" i="97"/>
  <c r="IM881" i="97"/>
  <c r="II881" i="97"/>
  <c r="IE881" i="97"/>
  <c r="IA881" i="97"/>
  <c r="HW881" i="97"/>
  <c r="HS881" i="97"/>
  <c r="HO881" i="97"/>
  <c r="HK881" i="97"/>
  <c r="HG881" i="97"/>
  <c r="HC881" i="97"/>
  <c r="GY881" i="97"/>
  <c r="GU881" i="97"/>
  <c r="GQ881" i="97"/>
  <c r="GM881" i="97"/>
  <c r="GI881" i="97"/>
  <c r="GE881" i="97"/>
  <c r="GA881" i="97"/>
  <c r="FW881" i="97"/>
  <c r="FS881" i="97"/>
  <c r="FO881" i="97"/>
  <c r="FK881" i="97"/>
  <c r="FG881" i="97"/>
  <c r="FC881" i="97"/>
  <c r="EY881" i="97"/>
  <c r="EU881" i="97"/>
  <c r="EQ881" i="97"/>
  <c r="EM881" i="97"/>
  <c r="EI881" i="97"/>
  <c r="EE881" i="97"/>
  <c r="EA881" i="97"/>
  <c r="DW881" i="97"/>
  <c r="DS881" i="97"/>
  <c r="DO881" i="97"/>
  <c r="DK881" i="97"/>
  <c r="DG881" i="97"/>
  <c r="DC881" i="97"/>
  <c r="CY881" i="97"/>
  <c r="CU881" i="97"/>
  <c r="CQ881" i="97"/>
  <c r="CM881" i="97"/>
  <c r="CI881" i="97"/>
  <c r="CE881" i="97"/>
  <c r="CA881" i="97"/>
  <c r="BW881" i="97"/>
  <c r="BS881" i="97"/>
  <c r="BO881" i="97"/>
  <c r="BK881" i="97"/>
  <c r="BG881" i="97"/>
  <c r="BC881" i="97"/>
  <c r="AY881" i="97"/>
  <c r="AU881" i="97"/>
  <c r="AQ881" i="97"/>
  <c r="AM881" i="97"/>
  <c r="AI881" i="97"/>
  <c r="AE881" i="97"/>
  <c r="AA881" i="97"/>
  <c r="MT881" i="97"/>
  <c r="MP881" i="97"/>
  <c r="ML881" i="97"/>
  <c r="MH881" i="97"/>
  <c r="MD881" i="97"/>
  <c r="LZ881" i="97"/>
  <c r="LV881" i="97"/>
  <c r="LR881" i="97"/>
  <c r="LN881" i="97"/>
  <c r="LF881" i="97"/>
  <c r="LB881" i="97"/>
  <c r="KX881" i="97"/>
  <c r="KT881" i="97"/>
  <c r="KP881" i="97"/>
  <c r="KL881" i="97"/>
  <c r="KH881" i="97"/>
  <c r="KD881" i="97"/>
  <c r="JZ881" i="97"/>
  <c r="JV881" i="97"/>
  <c r="JR881" i="97"/>
  <c r="JN881" i="97"/>
  <c r="JJ881" i="97"/>
  <c r="JF881" i="97"/>
  <c r="JB881" i="97"/>
  <c r="IX881" i="97"/>
  <c r="IT881" i="97"/>
  <c r="IP881" i="97"/>
  <c r="IL881" i="97"/>
  <c r="IH881" i="97"/>
  <c r="ID881" i="97"/>
  <c r="HZ881" i="97"/>
  <c r="HV881" i="97"/>
  <c r="HR881" i="97"/>
  <c r="HN881" i="97"/>
  <c r="HJ881" i="97"/>
  <c r="HF881" i="97"/>
  <c r="HB881" i="97"/>
  <c r="GX881" i="97"/>
  <c r="GT881" i="97"/>
  <c r="GP881" i="97"/>
  <c r="GL881" i="97"/>
  <c r="GH881" i="97"/>
  <c r="GD881" i="97"/>
  <c r="FZ881" i="97"/>
  <c r="FV881" i="97"/>
  <c r="FR881" i="97"/>
  <c r="FN881" i="97"/>
  <c r="FJ881" i="97"/>
  <c r="FF881" i="97"/>
  <c r="FB881" i="97"/>
  <c r="EX881" i="97"/>
  <c r="ET881" i="97"/>
  <c r="EP881" i="97"/>
  <c r="EL881" i="97"/>
  <c r="EH881" i="97"/>
  <c r="ED881" i="97"/>
  <c r="DZ881" i="97"/>
  <c r="DV881" i="97"/>
  <c r="DR881" i="97"/>
  <c r="DN881" i="97"/>
  <c r="DJ881" i="97"/>
  <c r="DF881" i="97"/>
  <c r="DB881" i="97"/>
  <c r="CX881" i="97"/>
  <c r="CT881" i="97"/>
  <c r="CP881" i="97"/>
  <c r="CL881" i="97"/>
  <c r="CH881" i="97"/>
  <c r="CD881" i="97"/>
  <c r="BZ881" i="97"/>
  <c r="BV881" i="97"/>
  <c r="BR881" i="97"/>
  <c r="BN881" i="97"/>
  <c r="BJ881" i="97"/>
  <c r="BF881" i="97"/>
  <c r="BB881" i="97"/>
  <c r="AX881" i="97"/>
  <c r="AT881" i="97"/>
  <c r="AP881" i="97"/>
  <c r="AL881" i="97"/>
  <c r="AH881" i="97"/>
  <c r="AD881" i="97"/>
  <c r="Z881" i="97"/>
  <c r="AC881" i="97"/>
  <c r="AK881" i="97"/>
  <c r="AS881" i="97"/>
  <c r="BA881" i="97"/>
  <c r="BI881" i="97"/>
  <c r="BQ881" i="97"/>
  <c r="BY881" i="97"/>
  <c r="CG881" i="97"/>
  <c r="CO881" i="97"/>
  <c r="CW881" i="97"/>
  <c r="DE881" i="97"/>
  <c r="DM881" i="97"/>
  <c r="DU881" i="97"/>
  <c r="EC881" i="97"/>
  <c r="EK881" i="97"/>
  <c r="ES881" i="97"/>
  <c r="FA881" i="97"/>
  <c r="FI881" i="97"/>
  <c r="FQ881" i="97"/>
  <c r="FY881" i="97"/>
  <c r="GG881" i="97"/>
  <c r="GO881" i="97"/>
  <c r="GW881" i="97"/>
  <c r="HE881" i="97"/>
  <c r="HM881" i="97"/>
  <c r="HU881" i="97"/>
  <c r="IC881" i="97"/>
  <c r="IK881" i="97"/>
  <c r="IS881" i="97"/>
  <c r="JA881" i="97"/>
  <c r="JI881" i="97"/>
  <c r="JQ881" i="97"/>
  <c r="JY881" i="97"/>
  <c r="KG881" i="97"/>
  <c r="KO881" i="97"/>
  <c r="KW881" i="97"/>
  <c r="LE881" i="97"/>
  <c r="LM881" i="97"/>
  <c r="LU881" i="97"/>
  <c r="MC881" i="97"/>
  <c r="MK881" i="97"/>
  <c r="MS881" i="97"/>
  <c r="M882" i="97"/>
  <c r="MQ883" i="97"/>
  <c r="MM883" i="97"/>
  <c r="MI883" i="97"/>
  <c r="ME883" i="97"/>
  <c r="MA883" i="97"/>
  <c r="LW883" i="97"/>
  <c r="LS883" i="97"/>
  <c r="LO883" i="97"/>
  <c r="LC883" i="97"/>
  <c r="KY883" i="97"/>
  <c r="KU883" i="97"/>
  <c r="KQ883" i="97"/>
  <c r="KM883" i="97"/>
  <c r="KI883" i="97"/>
  <c r="KE883" i="97"/>
  <c r="KA883" i="97"/>
  <c r="JW883" i="97"/>
  <c r="JS883" i="97"/>
  <c r="JO883" i="97"/>
  <c r="JK883" i="97"/>
  <c r="JG883" i="97"/>
  <c r="JC883" i="97"/>
  <c r="IY883" i="97"/>
  <c r="IU883" i="97"/>
  <c r="IQ883" i="97"/>
  <c r="IM883" i="97"/>
  <c r="II883" i="97"/>
  <c r="IE883" i="97"/>
  <c r="IA883" i="97"/>
  <c r="HW883" i="97"/>
  <c r="HS883" i="97"/>
  <c r="HO883" i="97"/>
  <c r="HK883" i="97"/>
  <c r="HG883" i="97"/>
  <c r="HC883" i="97"/>
  <c r="GY883" i="97"/>
  <c r="GU883" i="97"/>
  <c r="GQ883" i="97"/>
  <c r="GM883" i="97"/>
  <c r="GI883" i="97"/>
  <c r="GE883" i="97"/>
  <c r="GA883" i="97"/>
  <c r="FW883" i="97"/>
  <c r="FS883" i="97"/>
  <c r="FO883" i="97"/>
  <c r="FK883" i="97"/>
  <c r="FG883" i="97"/>
  <c r="FC883" i="97"/>
  <c r="EY883" i="97"/>
  <c r="EU883" i="97"/>
  <c r="EQ883" i="97"/>
  <c r="EM883" i="97"/>
  <c r="EI883" i="97"/>
  <c r="EE883" i="97"/>
  <c r="EA883" i="97"/>
  <c r="DW883" i="97"/>
  <c r="DS883" i="97"/>
  <c r="DO883" i="97"/>
  <c r="DK883" i="97"/>
  <c r="DG883" i="97"/>
  <c r="DC883" i="97"/>
  <c r="CY883" i="97"/>
  <c r="CU883" i="97"/>
  <c r="CQ883" i="97"/>
  <c r="CM883" i="97"/>
  <c r="CI883" i="97"/>
  <c r="CE883" i="97"/>
  <c r="CA883" i="97"/>
  <c r="BW883" i="97"/>
  <c r="BS883" i="97"/>
  <c r="BO883" i="97"/>
  <c r="BK883" i="97"/>
  <c r="BG883" i="97"/>
  <c r="BC883" i="97"/>
  <c r="AY883" i="97"/>
  <c r="AU883" i="97"/>
  <c r="AQ883" i="97"/>
  <c r="AM883" i="97"/>
  <c r="AI883" i="97"/>
  <c r="AE883" i="97"/>
  <c r="AA883" i="97"/>
  <c r="MT883" i="97"/>
  <c r="MP883" i="97"/>
  <c r="ML883" i="97"/>
  <c r="MH883" i="97"/>
  <c r="MD883" i="97"/>
  <c r="LZ883" i="97"/>
  <c r="LV883" i="97"/>
  <c r="LR883" i="97"/>
  <c r="LN883" i="97"/>
  <c r="LF883" i="97"/>
  <c r="LB883" i="97"/>
  <c r="KX883" i="97"/>
  <c r="KT883" i="97"/>
  <c r="KP883" i="97"/>
  <c r="KL883" i="97"/>
  <c r="KH883" i="97"/>
  <c r="KD883" i="97"/>
  <c r="JZ883" i="97"/>
  <c r="JV883" i="97"/>
  <c r="JR883" i="97"/>
  <c r="JN883" i="97"/>
  <c r="JJ883" i="97"/>
  <c r="JF883" i="97"/>
  <c r="JB883" i="97"/>
  <c r="IX883" i="97"/>
  <c r="IT883" i="97"/>
  <c r="IP883" i="97"/>
  <c r="IL883" i="97"/>
  <c r="IH883" i="97"/>
  <c r="ID883" i="97"/>
  <c r="HZ883" i="97"/>
  <c r="HV883" i="97"/>
  <c r="HR883" i="97"/>
  <c r="HN883" i="97"/>
  <c r="HJ883" i="97"/>
  <c r="HF883" i="97"/>
  <c r="HB883" i="97"/>
  <c r="GX883" i="97"/>
  <c r="GT883" i="97"/>
  <c r="GP883" i="97"/>
  <c r="GL883" i="97"/>
  <c r="GH883" i="97"/>
  <c r="GD883" i="97"/>
  <c r="FZ883" i="97"/>
  <c r="FV883" i="97"/>
  <c r="FR883" i="97"/>
  <c r="FN883" i="97"/>
  <c r="FJ883" i="97"/>
  <c r="FF883" i="97"/>
  <c r="FB883" i="97"/>
  <c r="EX883" i="97"/>
  <c r="ET883" i="97"/>
  <c r="EP883" i="97"/>
  <c r="EL883" i="97"/>
  <c r="EH883" i="97"/>
  <c r="ED883" i="97"/>
  <c r="DZ883" i="97"/>
  <c r="DV883" i="97"/>
  <c r="DR883" i="97"/>
  <c r="DN883" i="97"/>
  <c r="DJ883" i="97"/>
  <c r="DF883" i="97"/>
  <c r="DB883" i="97"/>
  <c r="CX883" i="97"/>
  <c r="CT883" i="97"/>
  <c r="CP883" i="97"/>
  <c r="CL883" i="97"/>
  <c r="CH883" i="97"/>
  <c r="CD883" i="97"/>
  <c r="BZ883" i="97"/>
  <c r="BV883" i="97"/>
  <c r="BR883" i="97"/>
  <c r="BN883" i="97"/>
  <c r="BJ883" i="97"/>
  <c r="BF883" i="97"/>
  <c r="BB883" i="97"/>
  <c r="AX883" i="97"/>
  <c r="AT883" i="97"/>
  <c r="AP883" i="97"/>
  <c r="AL883" i="97"/>
  <c r="AH883" i="97"/>
  <c r="AD883" i="97"/>
  <c r="Z883" i="97"/>
  <c r="AC883" i="97"/>
  <c r="AK883" i="97"/>
  <c r="AS883" i="97"/>
  <c r="BA883" i="97"/>
  <c r="BI883" i="97"/>
  <c r="BQ883" i="97"/>
  <c r="BY883" i="97"/>
  <c r="CG883" i="97"/>
  <c r="CO883" i="97"/>
  <c r="CW883" i="97"/>
  <c r="DE883" i="97"/>
  <c r="DM883" i="97"/>
  <c r="DU883" i="97"/>
  <c r="EC883" i="97"/>
  <c r="EK883" i="97"/>
  <c r="ES883" i="97"/>
  <c r="FA883" i="97"/>
  <c r="FI883" i="97"/>
  <c r="FQ883" i="97"/>
  <c r="FY883" i="97"/>
  <c r="GG883" i="97"/>
  <c r="GO883" i="97"/>
  <c r="GW883" i="97"/>
  <c r="HE883" i="97"/>
  <c r="HM883" i="97"/>
  <c r="HU883" i="97"/>
  <c r="IC883" i="97"/>
  <c r="IK883" i="97"/>
  <c r="IS883" i="97"/>
  <c r="JA883" i="97"/>
  <c r="JI883" i="97"/>
  <c r="JQ883" i="97"/>
  <c r="JY883" i="97"/>
  <c r="KG883" i="97"/>
  <c r="KO883" i="97"/>
  <c r="KW883" i="97"/>
  <c r="LE883" i="97"/>
  <c r="LM883" i="97"/>
  <c r="LU883" i="97"/>
  <c r="MC883" i="97"/>
  <c r="MK883" i="97"/>
  <c r="MS883" i="97"/>
  <c r="MR885" i="97"/>
  <c r="MN885" i="97"/>
  <c r="MJ885" i="97"/>
  <c r="MF885" i="97"/>
  <c r="MB885" i="97"/>
  <c r="LX885" i="97"/>
  <c r="LT885" i="97"/>
  <c r="LP885" i="97"/>
  <c r="LL885" i="97"/>
  <c r="LD885" i="97"/>
  <c r="KZ885" i="97"/>
  <c r="KV885" i="97"/>
  <c r="KR885" i="97"/>
  <c r="MS885" i="97"/>
  <c r="MM885" i="97"/>
  <c r="MH885" i="97"/>
  <c r="MC885" i="97"/>
  <c r="LW885" i="97"/>
  <c r="LR885" i="97"/>
  <c r="LM885" i="97"/>
  <c r="LB885" i="97"/>
  <c r="KW885" i="97"/>
  <c r="KQ885" i="97"/>
  <c r="KM885" i="97"/>
  <c r="KI885" i="97"/>
  <c r="KE885" i="97"/>
  <c r="KA885" i="97"/>
  <c r="JW885" i="97"/>
  <c r="JS885" i="97"/>
  <c r="JO885" i="97"/>
  <c r="JK885" i="97"/>
  <c r="JG885" i="97"/>
  <c r="JC885" i="97"/>
  <c r="IY885" i="97"/>
  <c r="IU885" i="97"/>
  <c r="IQ885" i="97"/>
  <c r="IM885" i="97"/>
  <c r="II885" i="97"/>
  <c r="IE885" i="97"/>
  <c r="IA885" i="97"/>
  <c r="HW885" i="97"/>
  <c r="HS885" i="97"/>
  <c r="HO885" i="97"/>
  <c r="HK885" i="97"/>
  <c r="HG885" i="97"/>
  <c r="HC885" i="97"/>
  <c r="GY885" i="97"/>
  <c r="GU885" i="97"/>
  <c r="GQ885" i="97"/>
  <c r="GM885" i="97"/>
  <c r="GI885" i="97"/>
  <c r="GE885" i="97"/>
  <c r="GA885" i="97"/>
  <c r="FW885" i="97"/>
  <c r="FS885" i="97"/>
  <c r="FO885" i="97"/>
  <c r="FK885" i="97"/>
  <c r="FG885" i="97"/>
  <c r="FC885" i="97"/>
  <c r="EY885" i="97"/>
  <c r="EU885" i="97"/>
  <c r="EQ885" i="97"/>
  <c r="EM885" i="97"/>
  <c r="EI885" i="97"/>
  <c r="EE885" i="97"/>
  <c r="EA885" i="97"/>
  <c r="DW885" i="97"/>
  <c r="DS885" i="97"/>
  <c r="DO885" i="97"/>
  <c r="DK885" i="97"/>
  <c r="DG885" i="97"/>
  <c r="DC885" i="97"/>
  <c r="CY885" i="97"/>
  <c r="CU885" i="97"/>
  <c r="CQ885" i="97"/>
  <c r="CM885" i="97"/>
  <c r="CI885" i="97"/>
  <c r="CE885" i="97"/>
  <c r="CA885" i="97"/>
  <c r="BW885" i="97"/>
  <c r="BS885" i="97"/>
  <c r="BO885" i="97"/>
  <c r="BK885" i="97"/>
  <c r="BG885" i="97"/>
  <c r="BC885" i="97"/>
  <c r="AY885" i="97"/>
  <c r="AU885" i="97"/>
  <c r="AQ885" i="97"/>
  <c r="AM885" i="97"/>
  <c r="AI885" i="97"/>
  <c r="AE885" i="97"/>
  <c r="AA885" i="97"/>
  <c r="MQ885" i="97"/>
  <c r="ML885" i="97"/>
  <c r="MG885" i="97"/>
  <c r="MA885" i="97"/>
  <c r="LV885" i="97"/>
  <c r="LQ885" i="97"/>
  <c r="LF885" i="97"/>
  <c r="LA885" i="97"/>
  <c r="KU885" i="97"/>
  <c r="KP885" i="97"/>
  <c r="KL885" i="97"/>
  <c r="KH885" i="97"/>
  <c r="KD885" i="97"/>
  <c r="JZ885" i="97"/>
  <c r="JV885" i="97"/>
  <c r="JR885" i="97"/>
  <c r="JN885" i="97"/>
  <c r="JJ885" i="97"/>
  <c r="JF885" i="97"/>
  <c r="JB885" i="97"/>
  <c r="IX885" i="97"/>
  <c r="IT885" i="97"/>
  <c r="IP885" i="97"/>
  <c r="IL885" i="97"/>
  <c r="IH885" i="97"/>
  <c r="ID885" i="97"/>
  <c r="HZ885" i="97"/>
  <c r="HV885" i="97"/>
  <c r="HR885" i="97"/>
  <c r="HN885" i="97"/>
  <c r="HJ885" i="97"/>
  <c r="HF885" i="97"/>
  <c r="HB885" i="97"/>
  <c r="GX885" i="97"/>
  <c r="GT885" i="97"/>
  <c r="GP885" i="97"/>
  <c r="GL885" i="97"/>
  <c r="GH885" i="97"/>
  <c r="GD885" i="97"/>
  <c r="FZ885" i="97"/>
  <c r="FV885" i="97"/>
  <c r="FR885" i="97"/>
  <c r="FN885" i="97"/>
  <c r="FJ885" i="97"/>
  <c r="FF885" i="97"/>
  <c r="FB885" i="97"/>
  <c r="EX885" i="97"/>
  <c r="ET885" i="97"/>
  <c r="EP885" i="97"/>
  <c r="EL885" i="97"/>
  <c r="EH885" i="97"/>
  <c r="ED885" i="97"/>
  <c r="DZ885" i="97"/>
  <c r="DV885" i="97"/>
  <c r="DR885" i="97"/>
  <c r="DN885" i="97"/>
  <c r="DJ885" i="97"/>
  <c r="DF885" i="97"/>
  <c r="DB885" i="97"/>
  <c r="CX885" i="97"/>
  <c r="CT885" i="97"/>
  <c r="CP885" i="97"/>
  <c r="CL885" i="97"/>
  <c r="CH885" i="97"/>
  <c r="CD885" i="97"/>
  <c r="BZ885" i="97"/>
  <c r="BV885" i="97"/>
  <c r="BR885" i="97"/>
  <c r="BN885" i="97"/>
  <c r="BJ885" i="97"/>
  <c r="BF885" i="97"/>
  <c r="BB885" i="97"/>
  <c r="AX885" i="97"/>
  <c r="AT885" i="97"/>
  <c r="AP885" i="97"/>
  <c r="AL885" i="97"/>
  <c r="AH885" i="97"/>
  <c r="AD885" i="97"/>
  <c r="Z885" i="97"/>
  <c r="AC885" i="97"/>
  <c r="AK885" i="97"/>
  <c r="AS885" i="97"/>
  <c r="BA885" i="97"/>
  <c r="BI885" i="97"/>
  <c r="BQ885" i="97"/>
  <c r="BY885" i="97"/>
  <c r="CG885" i="97"/>
  <c r="CO885" i="97"/>
  <c r="CW885" i="97"/>
  <c r="DE885" i="97"/>
  <c r="DM885" i="97"/>
  <c r="DU885" i="97"/>
  <c r="EC885" i="97"/>
  <c r="EK885" i="97"/>
  <c r="ES885" i="97"/>
  <c r="FA885" i="97"/>
  <c r="FI885" i="97"/>
  <c r="FQ885" i="97"/>
  <c r="FY885" i="97"/>
  <c r="GG885" i="97"/>
  <c r="GO885" i="97"/>
  <c r="GW885" i="97"/>
  <c r="HE885" i="97"/>
  <c r="HM885" i="97"/>
  <c r="HU885" i="97"/>
  <c r="IC885" i="97"/>
  <c r="IK885" i="97"/>
  <c r="IS885" i="97"/>
  <c r="JA885" i="97"/>
  <c r="JI885" i="97"/>
  <c r="JQ885" i="97"/>
  <c r="JY885" i="97"/>
  <c r="KG885" i="97"/>
  <c r="KO885" i="97"/>
  <c r="KY885" i="97"/>
  <c r="LJ885" i="97"/>
  <c r="LU885" i="97"/>
  <c r="ME885" i="97"/>
  <c r="MP885" i="97"/>
  <c r="MP886" i="97"/>
  <c r="IM886" i="97"/>
  <c r="JA886" i="97"/>
  <c r="JO886" i="97"/>
  <c r="KD886" i="97"/>
  <c r="LH888" i="97"/>
  <c r="AP888" i="97"/>
  <c r="BK888" i="97"/>
  <c r="CG888" i="97"/>
  <c r="DB888" i="97"/>
  <c r="DW888" i="97"/>
  <c r="ES888" i="97"/>
  <c r="FN888" i="97"/>
  <c r="GI888" i="97"/>
  <c r="HE888" i="97"/>
  <c r="HZ888" i="97"/>
  <c r="IU888" i="97"/>
  <c r="JQ888" i="97"/>
  <c r="KL888" i="97"/>
  <c r="LG888" i="97"/>
  <c r="MC888" i="97"/>
  <c r="Z886" i="97"/>
  <c r="AE886" i="97"/>
  <c r="AK886" i="97"/>
  <c r="AP886" i="97"/>
  <c r="AU886" i="97"/>
  <c r="BA886" i="97"/>
  <c r="BF886" i="97"/>
  <c r="BK886" i="97"/>
  <c r="BQ886" i="97"/>
  <c r="BV886" i="97"/>
  <c r="CA886" i="97"/>
  <c r="CI886" i="97"/>
  <c r="CP886" i="97"/>
  <c r="CW886" i="97"/>
  <c r="DE886" i="97"/>
  <c r="DK886" i="97"/>
  <c r="DR886" i="97"/>
  <c r="DZ886" i="97"/>
  <c r="EG886" i="97"/>
  <c r="EM886" i="97"/>
  <c r="EU886" i="97"/>
  <c r="FB886" i="97"/>
  <c r="FI886" i="97"/>
  <c r="FQ886" i="97"/>
  <c r="FW886" i="97"/>
  <c r="GD886" i="97"/>
  <c r="GL886" i="97"/>
  <c r="GS886" i="97"/>
  <c r="GY886" i="97"/>
  <c r="HG886" i="97"/>
  <c r="HN886" i="97"/>
  <c r="HU886" i="97"/>
  <c r="IC886" i="97"/>
  <c r="II886" i="97"/>
  <c r="IP886" i="97"/>
  <c r="IX886" i="97"/>
  <c r="JE886" i="97"/>
  <c r="JK886" i="97"/>
  <c r="JS886" i="97"/>
  <c r="JZ886" i="97"/>
  <c r="KG886" i="97"/>
  <c r="KO886" i="97"/>
  <c r="KY886" i="97"/>
  <c r="LJ886" i="97"/>
  <c r="LU886" i="97"/>
  <c r="ME886" i="97"/>
  <c r="ID887" i="97"/>
  <c r="IO887" i="97"/>
  <c r="IY887" i="97"/>
  <c r="JJ887" i="97"/>
  <c r="JU887" i="97"/>
  <c r="KE887" i="97"/>
  <c r="KP887" i="97"/>
  <c r="LA887" i="97"/>
  <c r="MR886" i="97"/>
  <c r="MN886" i="97"/>
  <c r="MJ886" i="97"/>
  <c r="MF886" i="97"/>
  <c r="MB886" i="97"/>
  <c r="LX886" i="97"/>
  <c r="LT886" i="97"/>
  <c r="LP886" i="97"/>
  <c r="LL886" i="97"/>
  <c r="LD886" i="97"/>
  <c r="KZ886" i="97"/>
  <c r="KV886" i="97"/>
  <c r="KR886" i="97"/>
  <c r="KN886" i="97"/>
  <c r="KJ886" i="97"/>
  <c r="KF886" i="97"/>
  <c r="KB886" i="97"/>
  <c r="JX886" i="97"/>
  <c r="JT886" i="97"/>
  <c r="JP886" i="97"/>
  <c r="JL886" i="97"/>
  <c r="JH886" i="97"/>
  <c r="JD886" i="97"/>
  <c r="IZ886" i="97"/>
  <c r="IV886" i="97"/>
  <c r="IR886" i="97"/>
  <c r="IN886" i="97"/>
  <c r="IJ886" i="97"/>
  <c r="IF886" i="97"/>
  <c r="IB886" i="97"/>
  <c r="HX886" i="97"/>
  <c r="HT886" i="97"/>
  <c r="HP886" i="97"/>
  <c r="HL886" i="97"/>
  <c r="HH886" i="97"/>
  <c r="HD886" i="97"/>
  <c r="GZ886" i="97"/>
  <c r="GV886" i="97"/>
  <c r="GR886" i="97"/>
  <c r="GN886" i="97"/>
  <c r="GJ886" i="97"/>
  <c r="GF886" i="97"/>
  <c r="GB886" i="97"/>
  <c r="FX886" i="97"/>
  <c r="FT886" i="97"/>
  <c r="FP886" i="97"/>
  <c r="FL886" i="97"/>
  <c r="FH886" i="97"/>
  <c r="FD886" i="97"/>
  <c r="EZ886" i="97"/>
  <c r="EV886" i="97"/>
  <c r="ER886" i="97"/>
  <c r="EN886" i="97"/>
  <c r="EJ886" i="97"/>
  <c r="EF886" i="97"/>
  <c r="EB886" i="97"/>
  <c r="DX886" i="97"/>
  <c r="DT886" i="97"/>
  <c r="DP886" i="97"/>
  <c r="DL886" i="97"/>
  <c r="DH886" i="97"/>
  <c r="DD886" i="97"/>
  <c r="CZ886" i="97"/>
  <c r="CV886" i="97"/>
  <c r="CR886" i="97"/>
  <c r="CN886" i="97"/>
  <c r="CJ886" i="97"/>
  <c r="CF886" i="97"/>
  <c r="CB886" i="97"/>
  <c r="MT886" i="97"/>
  <c r="MO886" i="97"/>
  <c r="MI886" i="97"/>
  <c r="MD886" i="97"/>
  <c r="LY886" i="97"/>
  <c r="LS886" i="97"/>
  <c r="LN886" i="97"/>
  <c r="LC886" i="97"/>
  <c r="KX886" i="97"/>
  <c r="KS886" i="97"/>
  <c r="KM886" i="97"/>
  <c r="KH886" i="97"/>
  <c r="KC886" i="97"/>
  <c r="JW886" i="97"/>
  <c r="JR886" i="97"/>
  <c r="JM886" i="97"/>
  <c r="JG886" i="97"/>
  <c r="JB886" i="97"/>
  <c r="IW886" i="97"/>
  <c r="IQ886" i="97"/>
  <c r="IL886" i="97"/>
  <c r="IG886" i="97"/>
  <c r="IA886" i="97"/>
  <c r="HV886" i="97"/>
  <c r="HQ886" i="97"/>
  <c r="HK886" i="97"/>
  <c r="HF886" i="97"/>
  <c r="HA886" i="97"/>
  <c r="GU886" i="97"/>
  <c r="GP886" i="97"/>
  <c r="GK886" i="97"/>
  <c r="GE886" i="97"/>
  <c r="FZ886" i="97"/>
  <c r="FU886" i="97"/>
  <c r="FO886" i="97"/>
  <c r="FJ886" i="97"/>
  <c r="FE886" i="97"/>
  <c r="EY886" i="97"/>
  <c r="ET886" i="97"/>
  <c r="EO886" i="97"/>
  <c r="EI886" i="97"/>
  <c r="ED886" i="97"/>
  <c r="DY886" i="97"/>
  <c r="DS886" i="97"/>
  <c r="DN886" i="97"/>
  <c r="DI886" i="97"/>
  <c r="DC886" i="97"/>
  <c r="CX886" i="97"/>
  <c r="CS886" i="97"/>
  <c r="CM886" i="97"/>
  <c r="CH886" i="97"/>
  <c r="CC886" i="97"/>
  <c r="BX886" i="97"/>
  <c r="BT886" i="97"/>
  <c r="BP886" i="97"/>
  <c r="BL886" i="97"/>
  <c r="BH886" i="97"/>
  <c r="BD886" i="97"/>
  <c r="AZ886" i="97"/>
  <c r="AV886" i="97"/>
  <c r="AR886" i="97"/>
  <c r="AN886" i="97"/>
  <c r="AJ886" i="97"/>
  <c r="AF886" i="97"/>
  <c r="AB886" i="97"/>
  <c r="X886" i="97"/>
  <c r="MS886" i="97"/>
  <c r="MM886" i="97"/>
  <c r="MH886" i="97"/>
  <c r="MC886" i="97"/>
  <c r="LW886" i="97"/>
  <c r="LR886" i="97"/>
  <c r="LM886" i="97"/>
  <c r="LG886" i="97"/>
  <c r="LB886" i="97"/>
  <c r="KW886" i="97"/>
  <c r="KQ886" i="97"/>
  <c r="AA886" i="97"/>
  <c r="AG886" i="97"/>
  <c r="AL886" i="97"/>
  <c r="AQ886" i="97"/>
  <c r="AW886" i="97"/>
  <c r="BB886" i="97"/>
  <c r="BG886" i="97"/>
  <c r="BM886" i="97"/>
  <c r="BR886" i="97"/>
  <c r="BW886" i="97"/>
  <c r="CD886" i="97"/>
  <c r="CK886" i="97"/>
  <c r="CQ886" i="97"/>
  <c r="CY886" i="97"/>
  <c r="DF886" i="97"/>
  <c r="DM886" i="97"/>
  <c r="DU886" i="97"/>
  <c r="EA886" i="97"/>
  <c r="EH886" i="97"/>
  <c r="EP886" i="97"/>
  <c r="EW886" i="97"/>
  <c r="FC886" i="97"/>
  <c r="FK886" i="97"/>
  <c r="FR886" i="97"/>
  <c r="FY886" i="97"/>
  <c r="GG886" i="97"/>
  <c r="GM886" i="97"/>
  <c r="GT886" i="97"/>
  <c r="HB886" i="97"/>
  <c r="HI886" i="97"/>
  <c r="HO886" i="97"/>
  <c r="HW886" i="97"/>
  <c r="ID886" i="97"/>
  <c r="IK886" i="97"/>
  <c r="IS886" i="97"/>
  <c r="IY886" i="97"/>
  <c r="JF886" i="97"/>
  <c r="JN886" i="97"/>
  <c r="JU886" i="97"/>
  <c r="KA886" i="97"/>
  <c r="KI886" i="97"/>
  <c r="KP886" i="97"/>
  <c r="LA886" i="97"/>
  <c r="LK886" i="97"/>
  <c r="LV886" i="97"/>
  <c r="MG886" i="97"/>
  <c r="MQ886" i="97"/>
  <c r="IE887" i="97"/>
  <c r="IP887" i="97"/>
  <c r="JA887" i="97"/>
  <c r="JK887" i="97"/>
  <c r="JV887" i="97"/>
  <c r="KG887" i="97"/>
  <c r="KQ887" i="97"/>
  <c r="P1780" i="97"/>
  <c r="P1778" i="97"/>
  <c r="MR887" i="97"/>
  <c r="MN887" i="97"/>
  <c r="MJ887" i="97"/>
  <c r="MF887" i="97"/>
  <c r="MB887" i="97"/>
  <c r="LX887" i="97"/>
  <c r="LT887" i="97"/>
  <c r="LP887" i="97"/>
  <c r="LL887" i="97"/>
  <c r="LD887" i="97"/>
  <c r="KZ887" i="97"/>
  <c r="KV887" i="97"/>
  <c r="KR887" i="97"/>
  <c r="KN887" i="97"/>
  <c r="KJ887" i="97"/>
  <c r="KF887" i="97"/>
  <c r="KB887" i="97"/>
  <c r="JX887" i="97"/>
  <c r="JT887" i="97"/>
  <c r="JP887" i="97"/>
  <c r="JL887" i="97"/>
  <c r="JH887" i="97"/>
  <c r="JD887" i="97"/>
  <c r="IZ887" i="97"/>
  <c r="IV887" i="97"/>
  <c r="IR887" i="97"/>
  <c r="IN887" i="97"/>
  <c r="IJ887" i="97"/>
  <c r="IF887" i="97"/>
  <c r="IB887" i="97"/>
  <c r="HX887" i="97"/>
  <c r="HT887" i="97"/>
  <c r="HP887" i="97"/>
  <c r="HL887" i="97"/>
  <c r="HH887" i="97"/>
  <c r="HD887" i="97"/>
  <c r="GZ887" i="97"/>
  <c r="GV887" i="97"/>
  <c r="GR887" i="97"/>
  <c r="GN887" i="97"/>
  <c r="GJ887" i="97"/>
  <c r="GF887" i="97"/>
  <c r="GB887" i="97"/>
  <c r="FX887" i="97"/>
  <c r="FT887" i="97"/>
  <c r="FP887" i="97"/>
  <c r="FL887" i="97"/>
  <c r="FH887" i="97"/>
  <c r="FD887" i="97"/>
  <c r="EZ887" i="97"/>
  <c r="EV887" i="97"/>
  <c r="ER887" i="97"/>
  <c r="EN887" i="97"/>
  <c r="EJ887" i="97"/>
  <c r="EF887" i="97"/>
  <c r="EB887" i="97"/>
  <c r="DX887" i="97"/>
  <c r="DT887" i="97"/>
  <c r="DP887" i="97"/>
  <c r="DL887" i="97"/>
  <c r="DH887" i="97"/>
  <c r="DD887" i="97"/>
  <c r="CZ887" i="97"/>
  <c r="CV887" i="97"/>
  <c r="CR887" i="97"/>
  <c r="CN887" i="97"/>
  <c r="CJ887" i="97"/>
  <c r="CF887" i="97"/>
  <c r="CB887" i="97"/>
  <c r="BX887" i="97"/>
  <c r="BT887" i="97"/>
  <c r="BP887" i="97"/>
  <c r="BL887" i="97"/>
  <c r="BH887" i="97"/>
  <c r="BD887" i="97"/>
  <c r="AZ887" i="97"/>
  <c r="AV887" i="97"/>
  <c r="AR887" i="97"/>
  <c r="AN887" i="97"/>
  <c r="AJ887" i="97"/>
  <c r="AF887" i="97"/>
  <c r="AB887" i="97"/>
  <c r="X887" i="97"/>
  <c r="AA887" i="97"/>
  <c r="AG887" i="97"/>
  <c r="AL887" i="97"/>
  <c r="AQ887" i="97"/>
  <c r="AW887" i="97"/>
  <c r="BB887" i="97"/>
  <c r="BG887" i="97"/>
  <c r="BM887" i="97"/>
  <c r="BR887" i="97"/>
  <c r="BW887" i="97"/>
  <c r="CC887" i="97"/>
  <c r="CH887" i="97"/>
  <c r="CM887" i="97"/>
  <c r="CS887" i="97"/>
  <c r="CX887" i="97"/>
  <c r="DC887" i="97"/>
  <c r="DI887" i="97"/>
  <c r="DN887" i="97"/>
  <c r="DS887" i="97"/>
  <c r="DY887" i="97"/>
  <c r="ED887" i="97"/>
  <c r="EI887" i="97"/>
  <c r="EO887" i="97"/>
  <c r="ET887" i="97"/>
  <c r="EY887" i="97"/>
  <c r="FE887" i="97"/>
  <c r="FJ887" i="97"/>
  <c r="FO887" i="97"/>
  <c r="FU887" i="97"/>
  <c r="FZ887" i="97"/>
  <c r="GE887" i="97"/>
  <c r="GK887" i="97"/>
  <c r="GP887" i="97"/>
  <c r="GU887" i="97"/>
  <c r="HA887" i="97"/>
  <c r="HF887" i="97"/>
  <c r="HK887" i="97"/>
  <c r="HQ887" i="97"/>
  <c r="HV887" i="97"/>
  <c r="IA887" i="97"/>
  <c r="IG887" i="97"/>
  <c r="IL887" i="97"/>
  <c r="IQ887" i="97"/>
  <c r="IW887" i="97"/>
  <c r="JB887" i="97"/>
  <c r="JG887" i="97"/>
  <c r="JM887" i="97"/>
  <c r="JR887" i="97"/>
  <c r="JW887" i="97"/>
  <c r="KC887" i="97"/>
  <c r="KH887" i="97"/>
  <c r="KM887" i="97"/>
  <c r="KS887" i="97"/>
  <c r="KX887" i="97"/>
  <c r="LC887" i="97"/>
  <c r="LI887" i="97"/>
  <c r="LN887" i="97"/>
  <c r="LS887" i="97"/>
  <c r="LY887" i="97"/>
  <c r="MD887" i="97"/>
  <c r="MI887" i="97"/>
  <c r="MO887" i="97"/>
  <c r="MT887" i="97"/>
  <c r="M1040" i="97"/>
  <c r="L1068" i="97"/>
  <c r="L1077" i="97"/>
  <c r="R1118" i="97"/>
  <c r="R1117" i="97"/>
  <c r="LH886" i="97"/>
  <c r="LI886" i="97"/>
  <c r="AC887" i="97"/>
  <c r="AH887" i="97"/>
  <c r="AM887" i="97"/>
  <c r="AS887" i="97"/>
  <c r="AX887" i="97"/>
  <c r="BC887" i="97"/>
  <c r="BI887" i="97"/>
  <c r="BN887" i="97"/>
  <c r="BS887" i="97"/>
  <c r="BY887" i="97"/>
  <c r="CD887" i="97"/>
  <c r="CI887" i="97"/>
  <c r="CO887" i="97"/>
  <c r="CT887" i="97"/>
  <c r="CY887" i="97"/>
  <c r="DE887" i="97"/>
  <c r="DJ887" i="97"/>
  <c r="DO887" i="97"/>
  <c r="DU887" i="97"/>
  <c r="DZ887" i="97"/>
  <c r="EE887" i="97"/>
  <c r="EK887" i="97"/>
  <c r="EP887" i="97"/>
  <c r="EU887" i="97"/>
  <c r="FA887" i="97"/>
  <c r="FF887" i="97"/>
  <c r="FK887" i="97"/>
  <c r="FQ887" i="97"/>
  <c r="FV887" i="97"/>
  <c r="GA887" i="97"/>
  <c r="GG887" i="97"/>
  <c r="GL887" i="97"/>
  <c r="GQ887" i="97"/>
  <c r="GW887" i="97"/>
  <c r="HB887" i="97"/>
  <c r="HG887" i="97"/>
  <c r="HM887" i="97"/>
  <c r="HR887" i="97"/>
  <c r="HW887" i="97"/>
  <c r="IC887" i="97"/>
  <c r="IH887" i="97"/>
  <c r="IM887" i="97"/>
  <c r="IS887" i="97"/>
  <c r="IX887" i="97"/>
  <c r="JC887" i="97"/>
  <c r="JI887" i="97"/>
  <c r="JN887" i="97"/>
  <c r="JS887" i="97"/>
  <c r="JY887" i="97"/>
  <c r="KD887" i="97"/>
  <c r="KI887" i="97"/>
  <c r="KO887" i="97"/>
  <c r="KT887" i="97"/>
  <c r="KY887" i="97"/>
  <c r="LE887" i="97"/>
  <c r="LJ887" i="97"/>
  <c r="LO887" i="97"/>
  <c r="LU887" i="97"/>
  <c r="LZ887" i="97"/>
  <c r="ME887" i="97"/>
  <c r="MK887" i="97"/>
  <c r="MP887" i="97"/>
  <c r="I1026" i="97"/>
  <c r="Q1026" i="97"/>
  <c r="I1044" i="97"/>
  <c r="Q1044" i="97"/>
  <c r="F1073" i="97"/>
  <c r="J1026" i="97"/>
  <c r="N1026" i="97"/>
  <c r="J1035" i="97"/>
  <c r="N1035" i="97"/>
  <c r="J1044" i="97"/>
  <c r="N1044" i="97"/>
  <c r="F1064" i="97"/>
  <c r="J2034" i="97"/>
  <c r="Q1088" i="97"/>
  <c r="C2189" i="97"/>
  <c r="D2189" i="97" s="1"/>
  <c r="I2189" i="97" s="1"/>
  <c r="C2190" i="97"/>
  <c r="D2190" i="97" s="1"/>
  <c r="I2190" i="97" s="1"/>
  <c r="C2186" i="97"/>
  <c r="D2186" i="97" s="1"/>
  <c r="I2186" i="97" s="1"/>
  <c r="C2187" i="97"/>
  <c r="D2187" i="97" s="1"/>
  <c r="I2187" i="97" s="1"/>
  <c r="J2149" i="97"/>
  <c r="A22" i="83"/>
  <c r="N65" i="97" l="1"/>
  <c r="Q227" i="75"/>
  <c r="P1982" i="97"/>
  <c r="P256" i="72"/>
  <c r="P1975" i="97" s="1"/>
  <c r="K38" i="93"/>
  <c r="K46" i="93"/>
  <c r="P113" i="75"/>
  <c r="E30" i="95"/>
  <c r="O63" i="75"/>
  <c r="Q237" i="75"/>
  <c r="L153" i="75"/>
  <c r="P138" i="75"/>
  <c r="L118" i="75"/>
  <c r="K115" i="75"/>
  <c r="M164" i="75"/>
  <c r="M166" i="75" s="1"/>
  <c r="M168" i="75" s="1"/>
  <c r="L111" i="75"/>
  <c r="P108" i="75"/>
  <c r="O100" i="75"/>
  <c r="N153" i="75"/>
  <c r="P136" i="75"/>
  <c r="P161" i="75"/>
  <c r="O164" i="75"/>
  <c r="O166" i="75" s="1"/>
  <c r="O168" i="75" s="1"/>
  <c r="L100" i="75"/>
  <c r="P96" i="75"/>
  <c r="O154" i="75"/>
  <c r="K1306" i="97" s="1"/>
  <c r="N127" i="75"/>
  <c r="N121" i="75"/>
  <c r="M118" i="75"/>
  <c r="L115" i="75"/>
  <c r="M111" i="75"/>
  <c r="K100" i="75"/>
  <c r="J36" i="96"/>
  <c r="J39" i="96"/>
  <c r="J47" i="96"/>
  <c r="J2174" i="97" s="1"/>
  <c r="K2174" i="97" s="1"/>
  <c r="J46" i="96"/>
  <c r="P59" i="72"/>
  <c r="F37" i="78"/>
  <c r="F14" i="74"/>
  <c r="F24" i="74" s="1"/>
  <c r="F1120" i="97" s="1"/>
  <c r="P129" i="75"/>
  <c r="K149" i="75"/>
  <c r="B493" i="91"/>
  <c r="J860" i="97"/>
  <c r="L860" i="97" s="1"/>
  <c r="M860" i="97" s="1"/>
  <c r="P238" i="75"/>
  <c r="K49" i="73"/>
  <c r="K147" i="75"/>
  <c r="L469" i="97"/>
  <c r="K40" i="93"/>
  <c r="K48" i="93"/>
  <c r="J48" i="96"/>
  <c r="J33" i="96"/>
  <c r="J41" i="96"/>
  <c r="J49" i="96"/>
  <c r="J42" i="96"/>
  <c r="D22" i="74"/>
  <c r="D1118" i="97" s="1"/>
  <c r="P67" i="85"/>
  <c r="A67" i="85"/>
  <c r="A21" i="83" s="1"/>
  <c r="P139" i="75"/>
  <c r="L127" i="75"/>
  <c r="H29" i="95"/>
  <c r="P93" i="75"/>
  <c r="MF889" i="97"/>
  <c r="IN889" i="97"/>
  <c r="O977" i="97" s="1"/>
  <c r="KJ889" i="97"/>
  <c r="M971" i="97" s="1"/>
  <c r="IV889" i="97"/>
  <c r="M983" i="97" s="1"/>
  <c r="P1882" i="97"/>
  <c r="P228" i="72"/>
  <c r="P1947" i="97" s="1"/>
  <c r="P135" i="75"/>
  <c r="P165" i="75"/>
  <c r="P63" i="66" s="1"/>
  <c r="P87" i="97" s="1"/>
  <c r="N164" i="75"/>
  <c r="N166" i="75" s="1"/>
  <c r="N168" i="75" s="1"/>
  <c r="JT889" i="97"/>
  <c r="L968" i="97" s="1"/>
  <c r="IF889" i="97"/>
  <c r="L976" i="97" s="1"/>
  <c r="KR889" i="97"/>
  <c r="K974" i="97" s="1"/>
  <c r="MN889" i="97"/>
  <c r="K111" i="75"/>
  <c r="P94" i="75"/>
  <c r="L63" i="75"/>
  <c r="Q236" i="75"/>
  <c r="P105" i="75"/>
  <c r="M125" i="75"/>
  <c r="K127" i="75"/>
  <c r="M121" i="75"/>
  <c r="K164" i="75"/>
  <c r="B238" i="91"/>
  <c r="B459" i="91"/>
  <c r="K66" i="73"/>
  <c r="M66" i="73" s="1"/>
  <c r="N154" i="75"/>
  <c r="M148" i="75"/>
  <c r="O118" i="75"/>
  <c r="N115" i="75"/>
  <c r="P160" i="75"/>
  <c r="P97" i="75"/>
  <c r="E41" i="78"/>
  <c r="G37" i="78" s="1"/>
  <c r="MR889" i="97"/>
  <c r="KZ889" i="97"/>
  <c r="N973" i="97" s="1"/>
  <c r="JD889" i="97"/>
  <c r="K981" i="97" s="1"/>
  <c r="KB889" i="97"/>
  <c r="O970" i="97" s="1"/>
  <c r="LX889" i="97"/>
  <c r="P237" i="75"/>
  <c r="P125" i="75"/>
  <c r="M127" i="75"/>
  <c r="P142" i="75"/>
  <c r="B204" i="91"/>
  <c r="P57" i="75"/>
  <c r="B221" i="91"/>
  <c r="P130" i="75"/>
  <c r="P116" i="75"/>
  <c r="P132" i="75"/>
  <c r="O127" i="75"/>
  <c r="G49" i="93"/>
  <c r="H49" i="93" s="1"/>
  <c r="K49" i="93" s="1"/>
  <c r="G47" i="93"/>
  <c r="H47" i="93" s="1"/>
  <c r="K47" i="93" s="1"/>
  <c r="G43" i="93"/>
  <c r="H43" i="93" s="1"/>
  <c r="K43" i="93" s="1"/>
  <c r="G35" i="93"/>
  <c r="H35" i="93" s="1"/>
  <c r="K35" i="93" s="1"/>
  <c r="G51" i="93"/>
  <c r="H51" i="93" s="1"/>
  <c r="K51" i="93" s="1"/>
  <c r="G39" i="93"/>
  <c r="H39" i="93" s="1"/>
  <c r="K39" i="93" s="1"/>
  <c r="L148" i="75"/>
  <c r="J1803" i="97"/>
  <c r="P88" i="72"/>
  <c r="P1807" i="97" s="1"/>
  <c r="L154" i="75"/>
  <c r="N148" i="75"/>
  <c r="J859" i="97"/>
  <c r="L859" i="97" s="1"/>
  <c r="M859" i="97" s="1"/>
  <c r="L19" i="75"/>
  <c r="M19" i="75" s="1"/>
  <c r="L121" i="75"/>
  <c r="K118" i="75"/>
  <c r="P118" i="75" s="1"/>
  <c r="P66" i="75"/>
  <c r="P649" i="97"/>
  <c r="P665" i="97" s="1"/>
  <c r="P667" i="97" s="1"/>
  <c r="P669" i="97" s="1"/>
  <c r="JL889" i="97"/>
  <c r="N978" i="97" s="1"/>
  <c r="N989" i="97" s="1"/>
  <c r="MO889" i="97"/>
  <c r="M649" i="97"/>
  <c r="M665" i="97" s="1"/>
  <c r="M667" i="97" s="1"/>
  <c r="M669" i="97" s="1"/>
  <c r="P131" i="75"/>
  <c r="L166" i="75"/>
  <c r="L168" i="75" s="1"/>
  <c r="P128" i="75"/>
  <c r="M147" i="75"/>
  <c r="O147" i="75"/>
  <c r="P147" i="75" s="1"/>
  <c r="M153" i="75"/>
  <c r="P143" i="75"/>
  <c r="P114" i="75"/>
  <c r="P107" i="75"/>
  <c r="S649" i="97"/>
  <c r="MC889" i="97"/>
  <c r="KW889" i="97"/>
  <c r="K973" i="97" s="1"/>
  <c r="JQ889" i="97"/>
  <c r="N979" i="97" s="1"/>
  <c r="N990" i="97" s="1"/>
  <c r="IK889" i="97"/>
  <c r="L977" i="97" s="1"/>
  <c r="HE889" i="97"/>
  <c r="O957" i="97" s="1"/>
  <c r="FY889" i="97"/>
  <c r="ES889" i="97"/>
  <c r="K999" i="97" s="1"/>
  <c r="DM889" i="97"/>
  <c r="N947" i="97" s="1"/>
  <c r="CG889" i="97"/>
  <c r="L935" i="97" s="1"/>
  <c r="BA889" i="97"/>
  <c r="O901" i="97" s="1"/>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GT889" i="97"/>
  <c r="HJ889" i="97"/>
  <c r="HZ889" i="97"/>
  <c r="IP889" i="97"/>
  <c r="L982" i="97" s="1"/>
  <c r="JF889" i="97"/>
  <c r="M981" i="97" s="1"/>
  <c r="JV889" i="97"/>
  <c r="N968" i="97" s="1"/>
  <c r="KL889" i="97"/>
  <c r="O971" i="97" s="1"/>
  <c r="LB889" i="97"/>
  <c r="K975" i="97" s="1"/>
  <c r="LV889" i="97"/>
  <c r="ML889" i="97"/>
  <c r="AE889" i="97"/>
  <c r="M897" i="97" s="1"/>
  <c r="AU889" i="97"/>
  <c r="N900" i="97" s="1"/>
  <c r="BK889" i="97"/>
  <c r="O904" i="97" s="1"/>
  <c r="CA889" i="97"/>
  <c r="K936" i="97" s="1"/>
  <c r="CQ889" i="97"/>
  <c r="L933" i="97" s="1"/>
  <c r="DG889" i="97"/>
  <c r="M948" i="97" s="1"/>
  <c r="DW889" i="97"/>
  <c r="N945" i="97" s="1"/>
  <c r="EM889" i="97"/>
  <c r="O997" i="97" s="1"/>
  <c r="FC889" i="97"/>
  <c r="K1001" i="97" s="1"/>
  <c r="FS889" i="97"/>
  <c r="L1005" i="97" s="1"/>
  <c r="GI889" i="97"/>
  <c r="M953" i="97" s="1"/>
  <c r="GY889" i="97"/>
  <c r="N956" i="97" s="1"/>
  <c r="HO889" i="97"/>
  <c r="O959" i="97" s="1"/>
  <c r="IE889" i="97"/>
  <c r="K976" i="97" s="1"/>
  <c r="IU889" i="97"/>
  <c r="L983" i="97" s="1"/>
  <c r="JK889" i="97"/>
  <c r="M978" i="97" s="1"/>
  <c r="M989" i="97" s="1"/>
  <c r="KA889" i="97"/>
  <c r="N970" i="97" s="1"/>
  <c r="KQ889" i="97"/>
  <c r="O972" i="97" s="1"/>
  <c r="LO889" i="97"/>
  <c r="ME889" i="97"/>
  <c r="C552" i="97"/>
  <c r="E543" i="97"/>
  <c r="E542" i="97"/>
  <c r="E541" i="97"/>
  <c r="G546" i="97"/>
  <c r="MB889" i="97"/>
  <c r="KV889" i="97"/>
  <c r="O974" i="97" s="1"/>
  <c r="O993" i="97" s="1"/>
  <c r="JP889" i="97"/>
  <c r="M979" i="97" s="1"/>
  <c r="M990" i="97" s="1"/>
  <c r="IJ889" i="97"/>
  <c r="K977" i="97" s="1"/>
  <c r="HD889" i="97"/>
  <c r="N957" i="97" s="1"/>
  <c r="FX889" i="97"/>
  <c r="ER889" i="97"/>
  <c r="O998" i="97" s="1"/>
  <c r="DL889" i="97"/>
  <c r="M947" i="97" s="1"/>
  <c r="CF889" i="97"/>
  <c r="K935" i="97" s="1"/>
  <c r="AZ889" i="97"/>
  <c r="N901" i="97" s="1"/>
  <c r="LJ889" i="97"/>
  <c r="G2160" i="97"/>
  <c r="H2160" i="97" s="1"/>
  <c r="H33" i="96"/>
  <c r="H52" i="96" s="1"/>
  <c r="G2164" i="97"/>
  <c r="H2164" i="97" s="1"/>
  <c r="H37" i="96"/>
  <c r="K37" i="96" s="1"/>
  <c r="G2168" i="97"/>
  <c r="H2168" i="97" s="1"/>
  <c r="H41" i="96"/>
  <c r="G2172" i="97"/>
  <c r="H2172" i="97" s="1"/>
  <c r="H45" i="96"/>
  <c r="K45" i="96" s="1"/>
  <c r="G2176" i="97"/>
  <c r="H2176" i="97" s="1"/>
  <c r="H49" i="96"/>
  <c r="MG889" i="97"/>
  <c r="KC889" i="97"/>
  <c r="K969" i="97" s="1"/>
  <c r="IW889" i="97"/>
  <c r="N983" i="97" s="1"/>
  <c r="I58" i="93"/>
  <c r="K64" i="93" s="1"/>
  <c r="K69" i="93" s="1"/>
  <c r="D64" i="93"/>
  <c r="FD889" i="97"/>
  <c r="L1001" i="97" s="1"/>
  <c r="AF889" i="97"/>
  <c r="N897" i="97" s="1"/>
  <c r="J2171" i="97"/>
  <c r="J2162" i="97"/>
  <c r="J2170" i="97"/>
  <c r="J2178" i="97"/>
  <c r="C1127" i="97"/>
  <c r="C53" i="82"/>
  <c r="D31" i="74"/>
  <c r="EV889" i="97"/>
  <c r="N999" i="97" s="1"/>
  <c r="X889" i="97"/>
  <c r="K896" i="97" s="1"/>
  <c r="AW889" i="97"/>
  <c r="K901" i="97" s="1"/>
  <c r="CC889" i="97"/>
  <c r="M936" i="97" s="1"/>
  <c r="DI889" i="97"/>
  <c r="O948" i="97" s="1"/>
  <c r="EO889" i="97"/>
  <c r="L998" i="97" s="1"/>
  <c r="FU889" i="97"/>
  <c r="N1005" i="97" s="1"/>
  <c r="HA889" i="97"/>
  <c r="K957" i="97" s="1"/>
  <c r="LI889" i="97"/>
  <c r="FT889" i="97"/>
  <c r="M1005" i="97" s="1"/>
  <c r="AV889" i="97"/>
  <c r="O900" i="97" s="1"/>
  <c r="J2169" i="97"/>
  <c r="FL889" i="97"/>
  <c r="O1002" i="97" s="1"/>
  <c r="AN889" i="97"/>
  <c r="L899" i="97" s="1"/>
  <c r="P1843" i="97"/>
  <c r="K1841" i="97" s="1"/>
  <c r="P108" i="72"/>
  <c r="K122" i="72"/>
  <c r="E1219" i="97"/>
  <c r="K43" i="87"/>
  <c r="E130" i="74"/>
  <c r="E1226" i="97" s="1"/>
  <c r="C1157" i="97"/>
  <c r="C69" i="74"/>
  <c r="C1165" i="97" s="1"/>
  <c r="K21" i="87"/>
  <c r="F1124" i="97"/>
  <c r="F36" i="74"/>
  <c r="F1132" i="97" s="1"/>
  <c r="H14" i="87"/>
  <c r="H1128" i="97"/>
  <c r="I14" i="86"/>
  <c r="C1160" i="97"/>
  <c r="G34" i="86"/>
  <c r="C1187" i="97"/>
  <c r="E31" i="87"/>
  <c r="C98" i="74"/>
  <c r="C1194" i="97" s="1"/>
  <c r="H1123" i="97"/>
  <c r="E16" i="87"/>
  <c r="H35" i="74"/>
  <c r="H1131" i="97" s="1"/>
  <c r="C1217" i="97"/>
  <c r="E41" i="87"/>
  <c r="C128" i="74"/>
  <c r="C1224" i="97" s="1"/>
  <c r="H1155" i="97"/>
  <c r="E26" i="87"/>
  <c r="H67" i="74"/>
  <c r="H1163" i="97" s="1"/>
  <c r="B1155" i="97"/>
  <c r="E20" i="87"/>
  <c r="B67" i="74"/>
  <c r="B1163" i="97" s="1"/>
  <c r="I1187" i="97"/>
  <c r="E37" i="87"/>
  <c r="I98" i="74"/>
  <c r="I1194" i="97" s="1"/>
  <c r="E1155" i="97"/>
  <c r="E23" i="87"/>
  <c r="E67" i="74"/>
  <c r="E1163" i="97" s="1"/>
  <c r="G1125" i="97"/>
  <c r="K15" i="87"/>
  <c r="G37" i="74"/>
  <c r="G1133" i="97" s="1"/>
  <c r="K1122" i="97"/>
  <c r="B19" i="87"/>
  <c r="K45" i="82"/>
  <c r="P1288" i="97"/>
  <c r="P1285" i="97"/>
  <c r="I495" i="97"/>
  <c r="I496" i="97" s="1"/>
  <c r="P45" i="73"/>
  <c r="C18" i="84"/>
  <c r="B4" i="82"/>
  <c r="P48" i="73"/>
  <c r="I61" i="68"/>
  <c r="J176" i="78"/>
  <c r="J178" i="78" s="1"/>
  <c r="I1186" i="97"/>
  <c r="B37" i="87"/>
  <c r="B1154" i="97"/>
  <c r="B20" i="87"/>
  <c r="B65" i="82"/>
  <c r="D1216" i="97"/>
  <c r="B42" i="87"/>
  <c r="H1154" i="97"/>
  <c r="B26" i="87"/>
  <c r="H65" i="82"/>
  <c r="H1186" i="97"/>
  <c r="B36" i="87"/>
  <c r="F1219" i="97"/>
  <c r="F130" i="74"/>
  <c r="F1226" i="97" s="1"/>
  <c r="K44" i="87"/>
  <c r="K1157" i="97"/>
  <c r="K69" i="74"/>
  <c r="K1165" i="97" s="1"/>
  <c r="K29" i="87"/>
  <c r="E1125" i="97"/>
  <c r="K13" i="87"/>
  <c r="E37" i="74"/>
  <c r="E1133" i="97" s="1"/>
  <c r="E1189" i="97"/>
  <c r="K33" i="87"/>
  <c r="E100" i="74"/>
  <c r="E1196" i="97" s="1"/>
  <c r="H1157" i="97"/>
  <c r="H69" i="74"/>
  <c r="H1165" i="97" s="1"/>
  <c r="K26" i="87"/>
  <c r="D1219" i="97"/>
  <c r="K42" i="87"/>
  <c r="D130" i="74"/>
  <c r="D1226" i="97" s="1"/>
  <c r="J866" i="97"/>
  <c r="L866" i="97" s="1"/>
  <c r="M866" i="97" s="1"/>
  <c r="L26" i="75"/>
  <c r="M26" i="75" s="1"/>
  <c r="F1154" i="97"/>
  <c r="B24" i="87"/>
  <c r="F65" i="82"/>
  <c r="J1124" i="97"/>
  <c r="J36" i="74"/>
  <c r="J1132" i="97" s="1"/>
  <c r="H18" i="87"/>
  <c r="B1122" i="97"/>
  <c r="B45" i="82"/>
  <c r="C75" i="84"/>
  <c r="B10" i="87"/>
  <c r="B40" i="74"/>
  <c r="J865" i="97"/>
  <c r="L865" i="97" s="1"/>
  <c r="M865" i="97" s="1"/>
  <c r="L25" i="75"/>
  <c r="M25" i="75" s="1"/>
  <c r="F1160" i="97"/>
  <c r="C54" i="86"/>
  <c r="D1154" i="97"/>
  <c r="B22" i="87"/>
  <c r="D65" i="82"/>
  <c r="G1124" i="97"/>
  <c r="H15" i="87"/>
  <c r="G36" i="74"/>
  <c r="G1132" i="97" s="1"/>
  <c r="D1124" i="97"/>
  <c r="H12" i="87"/>
  <c r="D36" i="74"/>
  <c r="D1132" i="97" s="1"/>
  <c r="I1188" i="97"/>
  <c r="H37" i="87"/>
  <c r="I99" i="74"/>
  <c r="I1195" i="97" s="1"/>
  <c r="B1156" i="97"/>
  <c r="B68" i="74"/>
  <c r="B1164" i="97" s="1"/>
  <c r="H20" i="87"/>
  <c r="D1218" i="97"/>
  <c r="D129" i="74"/>
  <c r="D1225" i="97" s="1"/>
  <c r="H42" i="87"/>
  <c r="B1188" i="97"/>
  <c r="B99" i="74"/>
  <c r="B1195" i="97" s="1"/>
  <c r="H30" i="87"/>
  <c r="F1218" i="97"/>
  <c r="H44" i="87"/>
  <c r="F129" i="74"/>
  <c r="F1225" i="97" s="1"/>
  <c r="O2061" i="97"/>
  <c r="O342" i="72"/>
  <c r="Q239" i="75"/>
  <c r="P239" i="75"/>
  <c r="P240" i="75"/>
  <c r="P56" i="66"/>
  <c r="P80" i="97" s="1"/>
  <c r="H52" i="73"/>
  <c r="I52" i="73"/>
  <c r="J26" i="95"/>
  <c r="Q158" i="75"/>
  <c r="M64" i="73"/>
  <c r="N64" i="73"/>
  <c r="I66" i="73"/>
  <c r="H66" i="73"/>
  <c r="H51" i="73"/>
  <c r="I51" i="73"/>
  <c r="I32" i="95"/>
  <c r="O65" i="75"/>
  <c r="O67" i="75" s="1"/>
  <c r="E32" i="95"/>
  <c r="K65" i="75"/>
  <c r="P63" i="75"/>
  <c r="K1296" i="97"/>
  <c r="K56" i="73"/>
  <c r="K1297" i="97"/>
  <c r="K57" i="73"/>
  <c r="M49" i="73"/>
  <c r="N49" i="73"/>
  <c r="J28" i="95"/>
  <c r="Q160" i="75"/>
  <c r="F1298" i="97"/>
  <c r="F58" i="73"/>
  <c r="LU889" i="97"/>
  <c r="KO889" i="97"/>
  <c r="M972" i="97" s="1"/>
  <c r="JI889" i="97"/>
  <c r="K978" i="97" s="1"/>
  <c r="IC889" i="97"/>
  <c r="GW889" i="97"/>
  <c r="L956" i="97" s="1"/>
  <c r="FQ889" i="97"/>
  <c r="O1003" i="97" s="1"/>
  <c r="EK889" i="97"/>
  <c r="M997" i="97" s="1"/>
  <c r="DE889" i="97"/>
  <c r="K948" i="97" s="1"/>
  <c r="BY889" i="97"/>
  <c r="N937" i="97" s="1"/>
  <c r="AS889" i="97"/>
  <c r="L900" i="97" s="1"/>
  <c r="AD889" i="97"/>
  <c r="L897" i="97" s="1"/>
  <c r="AT889" i="97"/>
  <c r="M900" i="97" s="1"/>
  <c r="BJ889" i="97"/>
  <c r="N904" i="97" s="1"/>
  <c r="BZ889" i="97"/>
  <c r="O937" i="97" s="1"/>
  <c r="CP889" i="97"/>
  <c r="K933" i="97" s="1"/>
  <c r="DF889" i="97"/>
  <c r="L948" i="97" s="1"/>
  <c r="DV889" i="97"/>
  <c r="M945" i="97" s="1"/>
  <c r="EL889" i="97"/>
  <c r="N997" i="97" s="1"/>
  <c r="FB889" i="97"/>
  <c r="O1000" i="97" s="1"/>
  <c r="FR889" i="97"/>
  <c r="K1005" i="97" s="1"/>
  <c r="GH889" i="97"/>
  <c r="L953" i="97" s="1"/>
  <c r="GX889" i="97"/>
  <c r="M956" i="97" s="1"/>
  <c r="HN889" i="97"/>
  <c r="N959" i="97" s="1"/>
  <c r="ID889" i="97"/>
  <c r="IT889" i="97"/>
  <c r="K983" i="97" s="1"/>
  <c r="JJ889" i="97"/>
  <c r="L978" i="97" s="1"/>
  <c r="L989" i="97" s="1"/>
  <c r="JZ889" i="97"/>
  <c r="M970" i="97" s="1"/>
  <c r="KP889" i="97"/>
  <c r="N972" i="97" s="1"/>
  <c r="LF889" i="97"/>
  <c r="O975" i="97" s="1"/>
  <c r="LZ889" i="97"/>
  <c r="MP889" i="97"/>
  <c r="AI889" i="97"/>
  <c r="L898" i="97" s="1"/>
  <c r="AY889" i="97"/>
  <c r="M901" i="97" s="1"/>
  <c r="BO889" i="97"/>
  <c r="N939" i="97" s="1"/>
  <c r="CE889" i="97"/>
  <c r="O936" i="97" s="1"/>
  <c r="CU889" i="97"/>
  <c r="K950" i="97" s="1"/>
  <c r="DK889" i="97"/>
  <c r="L947" i="97" s="1"/>
  <c r="EA889" i="97"/>
  <c r="M944" i="97" s="1"/>
  <c r="EQ889" i="97"/>
  <c r="N998" i="97" s="1"/>
  <c r="FG889" i="97"/>
  <c r="O1001" i="97" s="1"/>
  <c r="FW889" i="97"/>
  <c r="GM889" i="97"/>
  <c r="L954" i="97" s="1"/>
  <c r="HC889" i="97"/>
  <c r="M957" i="97" s="1"/>
  <c r="HS889" i="97"/>
  <c r="N960" i="97" s="1"/>
  <c r="II889" i="97"/>
  <c r="O976" i="97" s="1"/>
  <c r="IY889" i="97"/>
  <c r="K980" i="97" s="1"/>
  <c r="JO889" i="97"/>
  <c r="L979" i="97" s="1"/>
  <c r="L990" i="97" s="1"/>
  <c r="KE889" i="97"/>
  <c r="M969" i="97" s="1"/>
  <c r="KU889" i="97"/>
  <c r="N974" i="97" s="1"/>
  <c r="LS889" i="97"/>
  <c r="MI889" i="97"/>
  <c r="LT889" i="97"/>
  <c r="KN889" i="97"/>
  <c r="L972" i="97" s="1"/>
  <c r="L991" i="97" s="1"/>
  <c r="JH889" i="97"/>
  <c r="O981" i="97" s="1"/>
  <c r="IB889" i="97"/>
  <c r="GV889" i="97"/>
  <c r="K956" i="97" s="1"/>
  <c r="FP889" i="97"/>
  <c r="N1003" i="97" s="1"/>
  <c r="EJ889" i="97"/>
  <c r="L997" i="97" s="1"/>
  <c r="DD889" i="97"/>
  <c r="O949" i="97" s="1"/>
  <c r="BX889" i="97"/>
  <c r="M937" i="97" s="1"/>
  <c r="AR889" i="97"/>
  <c r="K900" i="97" s="1"/>
  <c r="A889" i="97"/>
  <c r="A846" i="97" s="1"/>
  <c r="G2161" i="97"/>
  <c r="H2161" i="97" s="1"/>
  <c r="H34" i="96"/>
  <c r="G2165" i="97"/>
  <c r="H2165" i="97" s="1"/>
  <c r="H38" i="96"/>
  <c r="K38" i="96" s="1"/>
  <c r="G2169" i="97"/>
  <c r="H2169" i="97" s="1"/>
  <c r="H42" i="96"/>
  <c r="K42" i="96" s="1"/>
  <c r="G2173" i="97"/>
  <c r="H2173" i="97" s="1"/>
  <c r="H46" i="96"/>
  <c r="G2177" i="97"/>
  <c r="H2177" i="97" s="1"/>
  <c r="K2177" i="97" s="1"/>
  <c r="H50" i="96"/>
  <c r="K50" i="96" s="1"/>
  <c r="LA889" i="97"/>
  <c r="O973" i="97" s="1"/>
  <c r="JU889" i="97"/>
  <c r="M968" i="97" s="1"/>
  <c r="IO889" i="97"/>
  <c r="K982" i="97" s="1"/>
  <c r="DX889" i="97"/>
  <c r="O945" i="97" s="1"/>
  <c r="G649" i="97"/>
  <c r="J679" i="97" s="1"/>
  <c r="J681" i="97" s="1"/>
  <c r="J2167" i="97"/>
  <c r="J2164" i="97"/>
  <c r="J2172" i="97"/>
  <c r="Q1980" i="97"/>
  <c r="L1980" i="97"/>
  <c r="DP889" i="97"/>
  <c r="L946" i="97" s="1"/>
  <c r="Y889" i="97"/>
  <c r="L896" i="97" s="1"/>
  <c r="BE889" i="97"/>
  <c r="N902" i="97" s="1"/>
  <c r="CK889" i="97"/>
  <c r="K934" i="97" s="1"/>
  <c r="DQ889" i="97"/>
  <c r="M946" i="97" s="1"/>
  <c r="EW889" i="97"/>
  <c r="O999" i="97" s="1"/>
  <c r="GC889" i="97"/>
  <c r="L1007" i="97" s="1"/>
  <c r="HI889" i="97"/>
  <c r="LQ889" i="97"/>
  <c r="EN889" i="97"/>
  <c r="K998" i="97" s="1"/>
  <c r="J2165" i="97"/>
  <c r="K2165" i="97" s="1"/>
  <c r="O1882" i="97"/>
  <c r="L1882" i="97" s="1"/>
  <c r="O228" i="72"/>
  <c r="E20" i="72"/>
  <c r="E1739" i="97" s="1"/>
  <c r="L163" i="72"/>
  <c r="EF889" i="97"/>
  <c r="M906" i="97" s="1"/>
  <c r="F1189" i="97"/>
  <c r="K34" i="87"/>
  <c r="F100" i="74"/>
  <c r="F1196" i="97" s="1"/>
  <c r="E1156" i="97"/>
  <c r="H23" i="87"/>
  <c r="E68" i="74"/>
  <c r="E1164" i="97" s="1"/>
  <c r="G1128" i="97"/>
  <c r="H14" i="86"/>
  <c r="J1123" i="97"/>
  <c r="E18" i="87"/>
  <c r="J35" i="74"/>
  <c r="J1131" i="97" s="1"/>
  <c r="B1160" i="97"/>
  <c r="F34" i="86"/>
  <c r="R31" i="74"/>
  <c r="H1187" i="97"/>
  <c r="E36" i="87"/>
  <c r="H98" i="74"/>
  <c r="H1194" i="97" s="1"/>
  <c r="G1155" i="97"/>
  <c r="E25" i="87"/>
  <c r="G67" i="74"/>
  <c r="G1163" i="97" s="1"/>
  <c r="E1123" i="97"/>
  <c r="E13" i="87"/>
  <c r="E35" i="74"/>
  <c r="E1131" i="97" s="1"/>
  <c r="F1187" i="97"/>
  <c r="E34" i="87"/>
  <c r="F98" i="74"/>
  <c r="F1194" i="97" s="1"/>
  <c r="F1155" i="97"/>
  <c r="E24" i="87"/>
  <c r="F67" i="74"/>
  <c r="F1163" i="97" s="1"/>
  <c r="D1217" i="97"/>
  <c r="E42" i="87"/>
  <c r="D128" i="74"/>
  <c r="D1224" i="97" s="1"/>
  <c r="D21" i="86"/>
  <c r="C41" i="86"/>
  <c r="D41" i="86" s="1"/>
  <c r="E41" i="86" s="1"/>
  <c r="C22" i="86"/>
  <c r="C42" i="86" s="1"/>
  <c r="D42" i="86" s="1"/>
  <c r="E42" i="86" s="1"/>
  <c r="E1218" i="97"/>
  <c r="H43" i="87"/>
  <c r="E129" i="74"/>
  <c r="E1225" i="97" s="1"/>
  <c r="J1154" i="97"/>
  <c r="B28" i="87"/>
  <c r="J65" i="82"/>
  <c r="K1124" i="97"/>
  <c r="H19" i="87"/>
  <c r="K36" i="74"/>
  <c r="K1132" i="97" s="1"/>
  <c r="C1122" i="97"/>
  <c r="B11" i="87"/>
  <c r="C45" i="82"/>
  <c r="C40" i="74"/>
  <c r="C1216" i="97"/>
  <c r="B41" i="87"/>
  <c r="G1154" i="97"/>
  <c r="B25" i="87"/>
  <c r="G65" i="82"/>
  <c r="E1122" i="97"/>
  <c r="B13" i="87"/>
  <c r="E45" i="82"/>
  <c r="F1186" i="97"/>
  <c r="B34" i="87"/>
  <c r="E1154" i="97"/>
  <c r="E65" i="82"/>
  <c r="B23" i="87"/>
  <c r="B1216" i="97"/>
  <c r="B40" i="87"/>
  <c r="D1125" i="97"/>
  <c r="K12" i="87"/>
  <c r="D37" i="74"/>
  <c r="D1133" i="97" s="1"/>
  <c r="D1189" i="97"/>
  <c r="D100" i="74"/>
  <c r="D1196" i="97" s="1"/>
  <c r="K32" i="87"/>
  <c r="I1125" i="97"/>
  <c r="K17" i="87"/>
  <c r="I37" i="74"/>
  <c r="I1133" i="97" s="1"/>
  <c r="J1189" i="97"/>
  <c r="J100" i="74"/>
  <c r="J1196" i="97" s="1"/>
  <c r="K38" i="87"/>
  <c r="C1189" i="97"/>
  <c r="C100" i="74"/>
  <c r="C1196" i="97" s="1"/>
  <c r="K31" i="87"/>
  <c r="B1124" i="97"/>
  <c r="B36" i="74"/>
  <c r="B1132" i="97" s="1"/>
  <c r="H10" i="87"/>
  <c r="E55" i="84"/>
  <c r="K55" i="84"/>
  <c r="I55" i="84"/>
  <c r="G55" i="84"/>
  <c r="E1157" i="97"/>
  <c r="K23" i="87"/>
  <c r="E69" i="74"/>
  <c r="E1165" i="97" s="1"/>
  <c r="J1128" i="97"/>
  <c r="D34" i="86"/>
  <c r="K1123" i="97"/>
  <c r="E19" i="87"/>
  <c r="K35" i="74"/>
  <c r="K1131" i="97" s="1"/>
  <c r="H1124" i="97"/>
  <c r="H16" i="87"/>
  <c r="H36" i="74"/>
  <c r="H1132" i="97" s="1"/>
  <c r="C1218" i="97"/>
  <c r="H41" i="87"/>
  <c r="C129" i="74"/>
  <c r="C1225" i="97" s="1"/>
  <c r="H1156" i="97"/>
  <c r="H68" i="74"/>
  <c r="H1164" i="97" s="1"/>
  <c r="H26" i="87"/>
  <c r="C1156" i="97"/>
  <c r="H21" i="87"/>
  <c r="C68" i="74"/>
  <c r="C1164" i="97" s="1"/>
  <c r="F1188" i="97"/>
  <c r="F99" i="74"/>
  <c r="F1195" i="97" s="1"/>
  <c r="H34" i="87"/>
  <c r="K1295" i="97"/>
  <c r="P152" i="75"/>
  <c r="K55" i="73"/>
  <c r="F1297" i="97"/>
  <c r="F57" i="73"/>
  <c r="H1292" i="97"/>
  <c r="I1292" i="97"/>
  <c r="N1304" i="97"/>
  <c r="M1304" i="97"/>
  <c r="I1306" i="97"/>
  <c r="H1306" i="97"/>
  <c r="F1296" i="97"/>
  <c r="F56" i="73"/>
  <c r="H1291" i="97"/>
  <c r="I1291" i="97"/>
  <c r="K1281" i="97"/>
  <c r="P148" i="75"/>
  <c r="K41" i="73"/>
  <c r="M52" i="73"/>
  <c r="N52" i="73"/>
  <c r="F1284" i="97"/>
  <c r="F44" i="73"/>
  <c r="M65" i="75"/>
  <c r="M67" i="75" s="1"/>
  <c r="G32" i="95"/>
  <c r="P127" i="75"/>
  <c r="N1289" i="97"/>
  <c r="M1289" i="97"/>
  <c r="Q165" i="75"/>
  <c r="H63" i="66"/>
  <c r="H87" i="97" s="1"/>
  <c r="G55" i="86"/>
  <c r="C55" i="86"/>
  <c r="G35" i="86"/>
  <c r="C35" i="86"/>
  <c r="O17" i="86"/>
  <c r="H15" i="86"/>
  <c r="D15" i="86"/>
  <c r="F55" i="86"/>
  <c r="F35" i="86"/>
  <c r="O16" i="86"/>
  <c r="G15" i="86"/>
  <c r="C15" i="86"/>
  <c r="E55" i="86"/>
  <c r="D35" i="86"/>
  <c r="I15" i="86"/>
  <c r="D55" i="86"/>
  <c r="I35" i="86"/>
  <c r="F15" i="86"/>
  <c r="H35" i="86"/>
  <c r="E15" i="86"/>
  <c r="H55" i="86"/>
  <c r="E35" i="86"/>
  <c r="N66" i="73"/>
  <c r="H49" i="73"/>
  <c r="I49" i="73"/>
  <c r="J31" i="95"/>
  <c r="Q163" i="75"/>
  <c r="MS889" i="97"/>
  <c r="LM889" i="97"/>
  <c r="KG889" i="97"/>
  <c r="O969" i="97" s="1"/>
  <c r="JA889" i="97"/>
  <c r="M980" i="97" s="1"/>
  <c r="HU889" i="97"/>
  <c r="GO889" i="97"/>
  <c r="N954" i="97" s="1"/>
  <c r="FI889" i="97"/>
  <c r="L1002" i="97" s="1"/>
  <c r="EC889" i="97"/>
  <c r="O944" i="97" s="1"/>
  <c r="CW889" i="97"/>
  <c r="M950" i="97" s="1"/>
  <c r="BQ889" i="97"/>
  <c r="K938" i="97" s="1"/>
  <c r="AK889" i="97"/>
  <c r="N898" i="97" s="1"/>
  <c r="AH889" i="97"/>
  <c r="K898" i="97" s="1"/>
  <c r="AX889" i="97"/>
  <c r="L901" i="97" s="1"/>
  <c r="BN889" i="97"/>
  <c r="M939" i="97" s="1"/>
  <c r="CD889" i="97"/>
  <c r="N936" i="97" s="1"/>
  <c r="CT889" i="97"/>
  <c r="O933" i="97" s="1"/>
  <c r="DJ889" i="97"/>
  <c r="K947" i="97" s="1"/>
  <c r="DZ889" i="97"/>
  <c r="L944" i="97" s="1"/>
  <c r="EP889" i="97"/>
  <c r="M998" i="97" s="1"/>
  <c r="FF889" i="97"/>
  <c r="N1001" i="97" s="1"/>
  <c r="FV889" i="97"/>
  <c r="O1005" i="97" s="1"/>
  <c r="GL889" i="97"/>
  <c r="K954" i="97" s="1"/>
  <c r="HB889" i="97"/>
  <c r="L957" i="97" s="1"/>
  <c r="HR889" i="97"/>
  <c r="M960" i="97" s="1"/>
  <c r="IH889" i="97"/>
  <c r="N976" i="97" s="1"/>
  <c r="IX889" i="97"/>
  <c r="O983" i="97" s="1"/>
  <c r="JN889" i="97"/>
  <c r="K979" i="97" s="1"/>
  <c r="KD889" i="97"/>
  <c r="L969" i="97" s="1"/>
  <c r="KT889" i="97"/>
  <c r="M974" i="97" s="1"/>
  <c r="LN889" i="97"/>
  <c r="MD889" i="97"/>
  <c r="MT889" i="97"/>
  <c r="AM889" i="97"/>
  <c r="K899" i="97" s="1"/>
  <c r="BC889" i="97"/>
  <c r="L902" i="97" s="1"/>
  <c r="BS889" i="97"/>
  <c r="M938" i="97" s="1"/>
  <c r="CI889" i="97"/>
  <c r="N935" i="97" s="1"/>
  <c r="CY889" i="97"/>
  <c r="O950" i="97" s="1"/>
  <c r="DO889" i="97"/>
  <c r="K946" i="97" s="1"/>
  <c r="EE889" i="97"/>
  <c r="L906" i="97" s="1"/>
  <c r="EU889" i="97"/>
  <c r="M999" i="97" s="1"/>
  <c r="FK889" i="97"/>
  <c r="N1002" i="97" s="1"/>
  <c r="GA889" i="97"/>
  <c r="GQ889" i="97"/>
  <c r="HG889" i="97"/>
  <c r="L958" i="97" s="1"/>
  <c r="HW889" i="97"/>
  <c r="IM889" i="97"/>
  <c r="N977" i="97" s="1"/>
  <c r="JC889" i="97"/>
  <c r="O980" i="97" s="1"/>
  <c r="JS889" i="97"/>
  <c r="K968" i="97" s="1"/>
  <c r="KI889" i="97"/>
  <c r="L971" i="97" s="1"/>
  <c r="KY889" i="97"/>
  <c r="M973" i="97" s="1"/>
  <c r="LW889" i="97"/>
  <c r="MM889" i="97"/>
  <c r="LL889" i="97"/>
  <c r="KF889" i="97"/>
  <c r="N969" i="97" s="1"/>
  <c r="IZ889" i="97"/>
  <c r="L980" i="97" s="1"/>
  <c r="L987" i="97" s="1"/>
  <c r="HT889" i="97"/>
  <c r="O960" i="97" s="1"/>
  <c r="GN889" i="97"/>
  <c r="M954" i="97" s="1"/>
  <c r="FH889" i="97"/>
  <c r="K1002" i="97" s="1"/>
  <c r="EB889" i="97"/>
  <c r="N944" i="97" s="1"/>
  <c r="CV889" i="97"/>
  <c r="L950" i="97" s="1"/>
  <c r="BP889" i="97"/>
  <c r="O939" i="97" s="1"/>
  <c r="AJ889" i="97"/>
  <c r="M898" i="97" s="1"/>
  <c r="LG889" i="97"/>
  <c r="G2162" i="97"/>
  <c r="H2162" i="97" s="1"/>
  <c r="H35" i="96"/>
  <c r="K35" i="96" s="1"/>
  <c r="G2166" i="97"/>
  <c r="H2166" i="97" s="1"/>
  <c r="H39" i="96"/>
  <c r="G2170" i="97"/>
  <c r="H2170" i="97" s="1"/>
  <c r="H43" i="96"/>
  <c r="K43" i="96" s="1"/>
  <c r="G2174" i="97"/>
  <c r="H2174" i="97" s="1"/>
  <c r="H47" i="96"/>
  <c r="G2178" i="97"/>
  <c r="H2178" i="97" s="1"/>
  <c r="H51" i="96"/>
  <c r="K51" i="96" s="1"/>
  <c r="KS889" i="97"/>
  <c r="L974" i="97" s="1"/>
  <c r="P974" i="97" s="1"/>
  <c r="JM889" i="97"/>
  <c r="O978" i="97" s="1"/>
  <c r="O989" i="97" s="1"/>
  <c r="IG889" i="97"/>
  <c r="M976" i="97" s="1"/>
  <c r="HP889" i="97"/>
  <c r="K960" i="97" s="1"/>
  <c r="CR889" i="97"/>
  <c r="M933" i="97" s="1"/>
  <c r="J2163" i="97"/>
  <c r="J2166" i="97"/>
  <c r="K2166" i="97" s="1"/>
  <c r="K39" i="96"/>
  <c r="K37" i="84"/>
  <c r="K35" i="84"/>
  <c r="C40" i="84"/>
  <c r="HH889" i="97"/>
  <c r="CJ889" i="97"/>
  <c r="O935" i="97" s="1"/>
  <c r="AG889" i="97"/>
  <c r="O897" i="97" s="1"/>
  <c r="BM889" i="97"/>
  <c r="L939" i="97" s="1"/>
  <c r="CS889" i="97"/>
  <c r="N933" i="97" s="1"/>
  <c r="DY889" i="97"/>
  <c r="K944" i="97" s="1"/>
  <c r="FE889" i="97"/>
  <c r="M1001" i="97" s="1"/>
  <c r="GK889" i="97"/>
  <c r="O953" i="97" s="1"/>
  <c r="HQ889" i="97"/>
  <c r="L960" i="97" s="1"/>
  <c r="LY889" i="97"/>
  <c r="DH889" i="97"/>
  <c r="N948" i="97" s="1"/>
  <c r="J2161" i="97"/>
  <c r="K34" i="96"/>
  <c r="O1975" i="97"/>
  <c r="G102" i="90"/>
  <c r="L1884" i="97"/>
  <c r="Q1884" i="97"/>
  <c r="HX889" i="97"/>
  <c r="CZ889" i="97"/>
  <c r="K949" i="97" s="1"/>
  <c r="D55" i="92"/>
  <c r="D35" i="90"/>
  <c r="I64" i="92" s="1"/>
  <c r="O1843" i="97"/>
  <c r="I1841" i="97" s="1"/>
  <c r="O108" i="72"/>
  <c r="I122" i="72"/>
  <c r="G1187" i="97"/>
  <c r="E35" i="87"/>
  <c r="G98" i="74"/>
  <c r="G1194" i="97" s="1"/>
  <c r="I1155" i="97"/>
  <c r="E27" i="87"/>
  <c r="I67" i="74"/>
  <c r="I1163" i="97" s="1"/>
  <c r="J1125" i="97"/>
  <c r="J37" i="74"/>
  <c r="J1133" i="97" s="1"/>
  <c r="K18" i="87"/>
  <c r="B1123" i="97"/>
  <c r="E10" i="87"/>
  <c r="B35" i="74"/>
  <c r="B1131" i="97" s="1"/>
  <c r="Q1057" i="97"/>
  <c r="C68" i="84"/>
  <c r="L486" i="97"/>
  <c r="N486" i="97" s="1"/>
  <c r="N52" i="68"/>
  <c r="E1128" i="97"/>
  <c r="F14" i="86"/>
  <c r="D1160" i="97"/>
  <c r="H34" i="86"/>
  <c r="B1217" i="97"/>
  <c r="E40" i="87"/>
  <c r="B128" i="74"/>
  <c r="B1224" i="97" s="1"/>
  <c r="D1187" i="97"/>
  <c r="E32" i="87"/>
  <c r="D98" i="74"/>
  <c r="D1194" i="97" s="1"/>
  <c r="I1123" i="97"/>
  <c r="E17" i="87"/>
  <c r="I35" i="74"/>
  <c r="I1131" i="97" s="1"/>
  <c r="K1187" i="97"/>
  <c r="E39" i="87"/>
  <c r="K98" i="74"/>
  <c r="K1194" i="97" s="1"/>
  <c r="J1155" i="97"/>
  <c r="E28" i="87"/>
  <c r="J67" i="74"/>
  <c r="J1163" i="97" s="1"/>
  <c r="P844" i="97"/>
  <c r="O65" i="97"/>
  <c r="P4" i="75"/>
  <c r="J1157" i="97"/>
  <c r="K28" i="87"/>
  <c r="J69" i="74"/>
  <c r="J1165" i="97" s="1"/>
  <c r="C1124" i="97"/>
  <c r="H11" i="87"/>
  <c r="C36" i="74"/>
  <c r="C1132" i="97" s="1"/>
  <c r="D1122" i="97"/>
  <c r="B12" i="87"/>
  <c r="D45" i="82"/>
  <c r="D40" i="74"/>
  <c r="E1186" i="97"/>
  <c r="B33" i="87"/>
  <c r="I1122" i="97"/>
  <c r="B17" i="87"/>
  <c r="I45" i="82"/>
  <c r="K1186" i="97"/>
  <c r="B39" i="87"/>
  <c r="I1154" i="97"/>
  <c r="I65" i="82"/>
  <c r="B27" i="87"/>
  <c r="F1216" i="97"/>
  <c r="B44" i="87"/>
  <c r="B1189" i="97"/>
  <c r="R87" i="74"/>
  <c r="S87" i="74" s="1"/>
  <c r="K30" i="87"/>
  <c r="B100" i="74"/>
  <c r="B1196" i="97" s="1"/>
  <c r="H1125" i="97"/>
  <c r="K16" i="87"/>
  <c r="H37" i="74"/>
  <c r="H1133" i="97" s="1"/>
  <c r="I1189" i="97"/>
  <c r="K37" i="87"/>
  <c r="I100" i="74"/>
  <c r="I1196" i="97" s="1"/>
  <c r="B1157" i="97"/>
  <c r="B69" i="74"/>
  <c r="B1165" i="97" s="1"/>
  <c r="K20" i="87"/>
  <c r="R55" i="74"/>
  <c r="S55" i="74" s="1"/>
  <c r="C1219" i="97"/>
  <c r="K41" i="87"/>
  <c r="C130" i="74"/>
  <c r="C1226" i="97" s="1"/>
  <c r="G1189" i="97"/>
  <c r="G100" i="74"/>
  <c r="G1196" i="97" s="1"/>
  <c r="K35" i="87"/>
  <c r="Q1067" i="97"/>
  <c r="F1217" i="97"/>
  <c r="E44" i="87"/>
  <c r="F128" i="74"/>
  <c r="F1224" i="97" s="1"/>
  <c r="J1156" i="97"/>
  <c r="J68" i="74"/>
  <c r="J1164" i="97" s="1"/>
  <c r="H28" i="87"/>
  <c r="K1128" i="97"/>
  <c r="E34" i="86"/>
  <c r="F1123" i="97"/>
  <c r="E14" i="87"/>
  <c r="F35" i="74"/>
  <c r="F1131" i="97" s="1"/>
  <c r="J861" i="97"/>
  <c r="L861" i="97" s="1"/>
  <c r="M861" i="97" s="1"/>
  <c r="L21" i="75"/>
  <c r="M21" i="75" s="1"/>
  <c r="M49" i="75" s="1"/>
  <c r="M50" i="75" s="1"/>
  <c r="I1156" i="97"/>
  <c r="H27" i="87"/>
  <c r="I68" i="74"/>
  <c r="I1164" i="97" s="1"/>
  <c r="K1125" i="97"/>
  <c r="K19" i="87"/>
  <c r="K37" i="74"/>
  <c r="K1133" i="97" s="1"/>
  <c r="C1123" i="97"/>
  <c r="E11" i="87"/>
  <c r="C35" i="74"/>
  <c r="C1131" i="97" s="1"/>
  <c r="G14" i="74"/>
  <c r="F22" i="74"/>
  <c r="C1188" i="97"/>
  <c r="H31" i="87"/>
  <c r="C99" i="74"/>
  <c r="C1195" i="97" s="1"/>
  <c r="F1156" i="97"/>
  <c r="F68" i="74"/>
  <c r="F1164" i="97" s="1"/>
  <c r="H24" i="87"/>
  <c r="E1124" i="97"/>
  <c r="H13" i="87"/>
  <c r="E36" i="74"/>
  <c r="E1132" i="97" s="1"/>
  <c r="E1188" i="97"/>
  <c r="H33" i="87"/>
  <c r="E99" i="74"/>
  <c r="E1195" i="97" s="1"/>
  <c r="G1156" i="97"/>
  <c r="H25" i="87"/>
  <c r="G68" i="74"/>
  <c r="G1164" i="97" s="1"/>
  <c r="J1188" i="97"/>
  <c r="J99" i="74"/>
  <c r="J1195" i="97" s="1"/>
  <c r="H38" i="87"/>
  <c r="K1299" i="97"/>
  <c r="K59" i="73"/>
  <c r="M51" i="73"/>
  <c r="N51" i="73"/>
  <c r="F1288" i="97"/>
  <c r="F48" i="73"/>
  <c r="P149" i="75"/>
  <c r="K1302" i="97"/>
  <c r="P154" i="75"/>
  <c r="K62" i="73"/>
  <c r="K1288" i="97"/>
  <c r="K48" i="73"/>
  <c r="P150" i="75"/>
  <c r="K1298" i="97"/>
  <c r="K58" i="73"/>
  <c r="M50" i="73"/>
  <c r="N50" i="73"/>
  <c r="F1282" i="97"/>
  <c r="F42" i="73"/>
  <c r="J29" i="95"/>
  <c r="Q161" i="75"/>
  <c r="J25" i="95"/>
  <c r="Q157" i="75"/>
  <c r="N1292" i="97"/>
  <c r="M1292" i="97"/>
  <c r="F1295" i="97"/>
  <c r="F55" i="73"/>
  <c r="P151" i="75"/>
  <c r="H50" i="73"/>
  <c r="I50" i="73"/>
  <c r="F1281" i="97"/>
  <c r="F41" i="73"/>
  <c r="N1306" i="97"/>
  <c r="M1306" i="97"/>
  <c r="I1289" i="97"/>
  <c r="H1289" i="97"/>
  <c r="P100" i="75"/>
  <c r="Q1065" i="97"/>
  <c r="M889" i="97"/>
  <c r="M890" i="97" s="1"/>
  <c r="MK889" i="97"/>
  <c r="LE889" i="97"/>
  <c r="N975" i="97" s="1"/>
  <c r="JY889" i="97"/>
  <c r="L970" i="97" s="1"/>
  <c r="L993" i="97" s="1"/>
  <c r="IS889" i="97"/>
  <c r="O982" i="97" s="1"/>
  <c r="HM889" i="97"/>
  <c r="M959" i="97" s="1"/>
  <c r="GG889" i="97"/>
  <c r="K953" i="97" s="1"/>
  <c r="FA889" i="97"/>
  <c r="N1000" i="97" s="1"/>
  <c r="DU889" i="97"/>
  <c r="L945" i="97" s="1"/>
  <c r="CO889" i="97"/>
  <c r="O934" i="97" s="1"/>
  <c r="BI889" i="97"/>
  <c r="M904" i="97" s="1"/>
  <c r="AC889" i="97"/>
  <c r="K897" i="97" s="1"/>
  <c r="AL889" i="97"/>
  <c r="O898" i="97" s="1"/>
  <c r="BB889" i="97"/>
  <c r="K902" i="97" s="1"/>
  <c r="BR889" i="97"/>
  <c r="L938" i="97" s="1"/>
  <c r="CH889" i="97"/>
  <c r="M935" i="97" s="1"/>
  <c r="CX889" i="97"/>
  <c r="N950" i="97" s="1"/>
  <c r="DN889" i="97"/>
  <c r="O947" i="97" s="1"/>
  <c r="ED889" i="97"/>
  <c r="K906" i="97" s="1"/>
  <c r="ET889" i="97"/>
  <c r="L999" i="97" s="1"/>
  <c r="FJ889" i="97"/>
  <c r="M1002" i="97" s="1"/>
  <c r="FZ889" i="97"/>
  <c r="GP889" i="97"/>
  <c r="O954" i="97" s="1"/>
  <c r="HF889" i="97"/>
  <c r="K958" i="97" s="1"/>
  <c r="HV889" i="97"/>
  <c r="IL889" i="97"/>
  <c r="M977" i="97" s="1"/>
  <c r="JB889" i="97"/>
  <c r="N980" i="97" s="1"/>
  <c r="JR889" i="97"/>
  <c r="O979" i="97" s="1"/>
  <c r="O990" i="97" s="1"/>
  <c r="KH889" i="97"/>
  <c r="K971" i="97" s="1"/>
  <c r="KX889" i="97"/>
  <c r="L973" i="97" s="1"/>
  <c r="LR889" i="97"/>
  <c r="MH889" i="97"/>
  <c r="AA889" i="97"/>
  <c r="N896" i="97" s="1"/>
  <c r="AQ889" i="97"/>
  <c r="O899" i="97" s="1"/>
  <c r="BG889" i="97"/>
  <c r="K904" i="97" s="1"/>
  <c r="BW889" i="97"/>
  <c r="L937" i="97" s="1"/>
  <c r="CM889" i="97"/>
  <c r="M934" i="97" s="1"/>
  <c r="DC889" i="97"/>
  <c r="N949" i="97" s="1"/>
  <c r="DS889" i="97"/>
  <c r="O946" i="97" s="1"/>
  <c r="EI889" i="97"/>
  <c r="K997" i="97" s="1"/>
  <c r="EY889" i="97"/>
  <c r="L1000" i="97" s="1"/>
  <c r="FO889" i="97"/>
  <c r="M1003" i="97" s="1"/>
  <c r="GE889" i="97"/>
  <c r="N1007" i="97" s="1"/>
  <c r="GU889" i="97"/>
  <c r="HK889" i="97"/>
  <c r="K959" i="97" s="1"/>
  <c r="IA889" i="97"/>
  <c r="IQ889" i="97"/>
  <c r="M982" i="97" s="1"/>
  <c r="JG889" i="97"/>
  <c r="N981" i="97" s="1"/>
  <c r="JW889" i="97"/>
  <c r="O968" i="97" s="1"/>
  <c r="KM889" i="97"/>
  <c r="K972" i="97" s="1"/>
  <c r="P972" i="97" s="1"/>
  <c r="LC889" i="97"/>
  <c r="L975" i="97" s="1"/>
  <c r="MA889" i="97"/>
  <c r="MQ889" i="97"/>
  <c r="MJ889" i="97"/>
  <c r="LD889" i="97"/>
  <c r="M975" i="97" s="1"/>
  <c r="M994" i="97" s="1"/>
  <c r="JX889" i="97"/>
  <c r="K970" i="97" s="1"/>
  <c r="IR889" i="97"/>
  <c r="N982" i="97" s="1"/>
  <c r="HL889" i="97"/>
  <c r="L959" i="97" s="1"/>
  <c r="GF889" i="97"/>
  <c r="O1007" i="97" s="1"/>
  <c r="EZ889" i="97"/>
  <c r="M1000" i="97" s="1"/>
  <c r="DT889" i="97"/>
  <c r="K945" i="97" s="1"/>
  <c r="P945" i="97" s="1"/>
  <c r="CN889" i="97"/>
  <c r="N934" i="97" s="1"/>
  <c r="BH889" i="97"/>
  <c r="L904" i="97" s="1"/>
  <c r="AB889" i="97"/>
  <c r="O896" i="97" s="1"/>
  <c r="LK889" i="97"/>
  <c r="G2163" i="97"/>
  <c r="H2163" i="97" s="1"/>
  <c r="H36" i="96"/>
  <c r="K36" i="96" s="1"/>
  <c r="G2167" i="97"/>
  <c r="H2167" i="97" s="1"/>
  <c r="H40" i="96"/>
  <c r="K40" i="96" s="1"/>
  <c r="G2171" i="97"/>
  <c r="H2171" i="97" s="1"/>
  <c r="H44" i="96"/>
  <c r="K44" i="96" s="1"/>
  <c r="G2175" i="97"/>
  <c r="H2175" i="97" s="1"/>
  <c r="H48" i="96"/>
  <c r="KK889" i="97"/>
  <c r="N971" i="97" s="1"/>
  <c r="JE889" i="97"/>
  <c r="L981" i="97" s="1"/>
  <c r="J649" i="97"/>
  <c r="J665" i="97" s="1"/>
  <c r="J667" i="97" s="1"/>
  <c r="J669" i="97" s="1"/>
  <c r="LH889" i="97"/>
  <c r="GJ889" i="97"/>
  <c r="N953" i="97" s="1"/>
  <c r="BL889" i="97"/>
  <c r="K939" i="97" s="1"/>
  <c r="J2175" i="97"/>
  <c r="K2175" i="97" s="1"/>
  <c r="K48" i="96"/>
  <c r="J2160" i="97"/>
  <c r="K2160" i="97" s="1"/>
  <c r="K2179" i="97" s="1"/>
  <c r="K2181" i="97" s="1"/>
  <c r="K2195" i="97" s="1"/>
  <c r="K2197" i="97" s="1"/>
  <c r="K33" i="96"/>
  <c r="K52" i="96" s="1"/>
  <c r="K54" i="96" s="1"/>
  <c r="K68" i="96" s="1"/>
  <c r="K70" i="96" s="1"/>
  <c r="J2168" i="97"/>
  <c r="K2168" i="97" s="1"/>
  <c r="K41" i="96"/>
  <c r="J2176" i="97"/>
  <c r="K2176" i="97" s="1"/>
  <c r="K49" i="96"/>
  <c r="O1807" i="97"/>
  <c r="GB889" i="97"/>
  <c r="K1007" i="97" s="1"/>
  <c r="BD889" i="97"/>
  <c r="M902" i="97" s="1"/>
  <c r="AO889" i="97"/>
  <c r="M899" i="97" s="1"/>
  <c r="BU889" i="97"/>
  <c r="O938" i="97" s="1"/>
  <c r="DA889" i="97"/>
  <c r="L949" i="97" s="1"/>
  <c r="EG889" i="97"/>
  <c r="N906" i="97" s="1"/>
  <c r="FM889" i="97"/>
  <c r="K1003" i="97" s="1"/>
  <c r="GS889" i="97"/>
  <c r="M955" i="97" s="1"/>
  <c r="HY889" i="97"/>
  <c r="GZ889" i="97"/>
  <c r="O956" i="97" s="1"/>
  <c r="CB889" i="97"/>
  <c r="L936" i="97" s="1"/>
  <c r="J2173" i="97"/>
  <c r="K2173" i="97" s="1"/>
  <c r="K46" i="96"/>
  <c r="O1982" i="97"/>
  <c r="Q1982" i="97" s="1"/>
  <c r="Q263" i="72"/>
  <c r="LP889" i="97"/>
  <c r="GR889" i="97"/>
  <c r="L955" i="97" s="1"/>
  <c r="BT889" i="97"/>
  <c r="N938" i="97" s="1"/>
  <c r="E1160" i="97"/>
  <c r="I34" i="86"/>
  <c r="K1154" i="97"/>
  <c r="B29" i="87"/>
  <c r="K65" i="82"/>
  <c r="B1125" i="97"/>
  <c r="B37" i="74"/>
  <c r="B1133" i="97" s="1"/>
  <c r="K10" i="87"/>
  <c r="F1122" i="97"/>
  <c r="F45" i="82"/>
  <c r="B14" i="87"/>
  <c r="D1128" i="97"/>
  <c r="E14" i="86"/>
  <c r="D44" i="74"/>
  <c r="D1140" i="97" s="1"/>
  <c r="R34" i="74"/>
  <c r="R33" i="74"/>
  <c r="R32" i="74"/>
  <c r="R29" i="74"/>
  <c r="R28" i="74"/>
  <c r="R27" i="74"/>
  <c r="R26" i="74"/>
  <c r="R25" i="74"/>
  <c r="R24" i="74"/>
  <c r="R23" i="74"/>
  <c r="R39" i="74"/>
  <c r="R37" i="74"/>
  <c r="R30" i="74"/>
  <c r="R40" i="74"/>
  <c r="R38" i="74"/>
  <c r="R36" i="74"/>
  <c r="R35" i="74"/>
  <c r="I1128" i="97"/>
  <c r="C34" i="86"/>
  <c r="D1123" i="97"/>
  <c r="E12" i="87"/>
  <c r="D35" i="74"/>
  <c r="D1131" i="97" s="1"/>
  <c r="J1187" i="97"/>
  <c r="E38" i="87"/>
  <c r="J98" i="74"/>
  <c r="J1194" i="97" s="1"/>
  <c r="C1155" i="97"/>
  <c r="E21" i="87"/>
  <c r="C67" i="74"/>
  <c r="C1163" i="97" s="1"/>
  <c r="E1217" i="97"/>
  <c r="E43" i="87"/>
  <c r="E128" i="74"/>
  <c r="E1224" i="97" s="1"/>
  <c r="E1187" i="97"/>
  <c r="E33" i="87"/>
  <c r="E98" i="74"/>
  <c r="E1194" i="97" s="1"/>
  <c r="D1156" i="97"/>
  <c r="H22" i="87"/>
  <c r="D68" i="74"/>
  <c r="D1164" i="97" s="1"/>
  <c r="G1123" i="97"/>
  <c r="E15" i="87"/>
  <c r="G35" i="74"/>
  <c r="G1131" i="97" s="1"/>
  <c r="I58" i="84"/>
  <c r="I62" i="84" s="1"/>
  <c r="G58" i="84"/>
  <c r="G62" i="84" s="1"/>
  <c r="E58" i="84"/>
  <c r="E62" i="84" s="1"/>
  <c r="C62" i="84"/>
  <c r="K58" i="84"/>
  <c r="K62" i="84" s="1"/>
  <c r="C1186" i="97"/>
  <c r="B31" i="87"/>
  <c r="H1122" i="97"/>
  <c r="B16" i="87"/>
  <c r="H45" i="82"/>
  <c r="J1186" i="97"/>
  <c r="B38" i="87"/>
  <c r="C1154" i="97"/>
  <c r="B21" i="87"/>
  <c r="C65" i="82"/>
  <c r="E1216" i="97"/>
  <c r="B43" i="87"/>
  <c r="D1186" i="97"/>
  <c r="B32" i="87"/>
  <c r="H1189" i="97"/>
  <c r="H100" i="74"/>
  <c r="H1196" i="97" s="1"/>
  <c r="K36" i="87"/>
  <c r="F1157" i="97"/>
  <c r="F69" i="74"/>
  <c r="F1165" i="97" s="1"/>
  <c r="K24" i="87"/>
  <c r="B1219" i="97"/>
  <c r="B130" i="74"/>
  <c r="B1226" i="97" s="1"/>
  <c r="R117" i="74"/>
  <c r="S117" i="74" s="1"/>
  <c r="K40" i="87"/>
  <c r="G1157" i="97"/>
  <c r="G69" i="74"/>
  <c r="G1165" i="97" s="1"/>
  <c r="K25" i="87"/>
  <c r="D1157" i="97"/>
  <c r="K22" i="87"/>
  <c r="D69" i="74"/>
  <c r="D1165" i="97" s="1"/>
  <c r="K1189" i="97"/>
  <c r="K100" i="74"/>
  <c r="K1196" i="97" s="1"/>
  <c r="K39" i="87"/>
  <c r="G1188" i="97"/>
  <c r="H35" i="87"/>
  <c r="G99" i="74"/>
  <c r="G1195" i="97" s="1"/>
  <c r="D1155" i="97"/>
  <c r="E22" i="87"/>
  <c r="D67" i="74"/>
  <c r="D1163" i="97" s="1"/>
  <c r="F1125" i="97"/>
  <c r="F37" i="74"/>
  <c r="F1133" i="97" s="1"/>
  <c r="K14" i="87"/>
  <c r="J1122" i="97"/>
  <c r="J45" i="82"/>
  <c r="B18" i="87"/>
  <c r="B14" i="82"/>
  <c r="B1186" i="97"/>
  <c r="B30" i="87"/>
  <c r="K1155" i="97"/>
  <c r="E29" i="87"/>
  <c r="K67" i="74"/>
  <c r="K1163" i="97" s="1"/>
  <c r="C1125" i="97"/>
  <c r="K11" i="87"/>
  <c r="C37" i="74"/>
  <c r="C1133" i="97" s="1"/>
  <c r="G1122" i="97"/>
  <c r="B15" i="87"/>
  <c r="G45" i="82"/>
  <c r="E1118" i="97"/>
  <c r="H1188" i="97"/>
  <c r="H36" i="87"/>
  <c r="H99" i="74"/>
  <c r="H1195" i="97" s="1"/>
  <c r="D1188" i="97"/>
  <c r="H32" i="87"/>
  <c r="D99" i="74"/>
  <c r="D1195" i="97" s="1"/>
  <c r="I1124" i="97"/>
  <c r="H17" i="87"/>
  <c r="I36" i="74"/>
  <c r="I1132" i="97" s="1"/>
  <c r="K1188" i="97"/>
  <c r="H39" i="87"/>
  <c r="K99" i="74"/>
  <c r="K1195" i="97" s="1"/>
  <c r="K1156" i="97"/>
  <c r="H29" i="87"/>
  <c r="K68" i="74"/>
  <c r="K1164" i="97" s="1"/>
  <c r="B1218" i="97"/>
  <c r="H40" i="87"/>
  <c r="B129" i="74"/>
  <c r="B1225" i="97" s="1"/>
  <c r="Q225" i="75"/>
  <c r="N1291" i="97"/>
  <c r="M1291" i="97"/>
  <c r="P111" i="75"/>
  <c r="J30" i="95"/>
  <c r="Q162" i="75"/>
  <c r="F32" i="95"/>
  <c r="L65" i="75"/>
  <c r="L67" i="75" s="1"/>
  <c r="J27" i="95"/>
  <c r="Q159" i="75"/>
  <c r="F1302" i="97"/>
  <c r="F62" i="73"/>
  <c r="P153" i="75"/>
  <c r="N1290" i="97"/>
  <c r="M1290" i="97"/>
  <c r="K1285" i="97"/>
  <c r="K45" i="73"/>
  <c r="J18" i="84"/>
  <c r="F1299" i="97"/>
  <c r="F59" i="73"/>
  <c r="H1290" i="97"/>
  <c r="I1290" i="97"/>
  <c r="P115" i="75"/>
  <c r="K166" i="75"/>
  <c r="P164" i="75"/>
  <c r="P62" i="66" s="1"/>
  <c r="H32" i="95"/>
  <c r="N65" i="75"/>
  <c r="N67" i="75" s="1"/>
  <c r="N994" i="97" l="1"/>
  <c r="K47" i="96"/>
  <c r="P981" i="97"/>
  <c r="P1007" i="97"/>
  <c r="P959" i="97"/>
  <c r="N958" i="97"/>
  <c r="Q240" i="75"/>
  <c r="Q231" i="75" s="1"/>
  <c r="P121" i="75"/>
  <c r="H56" i="66" s="1"/>
  <c r="H80" i="97" s="1"/>
  <c r="F65" i="73"/>
  <c r="F1305" i="97"/>
  <c r="F1303" i="97"/>
  <c r="F63" i="73"/>
  <c r="H57" i="66"/>
  <c r="H81" i="97" s="1"/>
  <c r="L961" i="97"/>
  <c r="P998" i="97"/>
  <c r="O988" i="97"/>
  <c r="P1076" i="97"/>
  <c r="N955" i="97"/>
  <c r="P937" i="97"/>
  <c r="P973" i="97"/>
  <c r="F1283" i="97"/>
  <c r="F43" i="73"/>
  <c r="F56" i="89"/>
  <c r="D37" i="90" s="1"/>
  <c r="Q167" i="75"/>
  <c r="H65" i="66"/>
  <c r="H89" i="97" s="1"/>
  <c r="N1065" i="97"/>
  <c r="M987" i="97"/>
  <c r="O951" i="97"/>
  <c r="K44" i="73"/>
  <c r="K1284" i="97"/>
  <c r="K42" i="73"/>
  <c r="K1282" i="97"/>
  <c r="F1304" i="97"/>
  <c r="F64" i="73"/>
  <c r="K63" i="73"/>
  <c r="K1303" i="97"/>
  <c r="K1283" i="97"/>
  <c r="K43" i="73"/>
  <c r="P949" i="97"/>
  <c r="M993" i="97"/>
  <c r="F1285" i="97"/>
  <c r="F45" i="73"/>
  <c r="F46" i="73" s="1"/>
  <c r="K1305" i="97"/>
  <c r="K65" i="73"/>
  <c r="Q1071" i="97"/>
  <c r="E174" i="90"/>
  <c r="E175" i="90" s="1"/>
  <c r="C66" i="84"/>
  <c r="Q232" i="75"/>
  <c r="N232" i="75"/>
  <c r="B23" i="74"/>
  <c r="H176" i="75"/>
  <c r="H1016" i="97" s="1"/>
  <c r="P1016" i="97" s="1"/>
  <c r="B15" i="74"/>
  <c r="H62" i="73"/>
  <c r="I62" i="73"/>
  <c r="N903" i="97"/>
  <c r="N905" i="97" s="1"/>
  <c r="N907" i="97" s="1"/>
  <c r="N910" i="97"/>
  <c r="H41" i="73"/>
  <c r="I41" i="73"/>
  <c r="F1300" i="97"/>
  <c r="I1295" i="97"/>
  <c r="H1295" i="97"/>
  <c r="N1302" i="97"/>
  <c r="M1302" i="97"/>
  <c r="L992" i="97"/>
  <c r="L965" i="97"/>
  <c r="P898" i="97"/>
  <c r="H1296" i="97"/>
  <c r="K60" i="73"/>
  <c r="M55" i="73"/>
  <c r="N55" i="73"/>
  <c r="R1127" i="97"/>
  <c r="P982" i="97"/>
  <c r="Q1078" i="97"/>
  <c r="P1078" i="97"/>
  <c r="P933" i="97"/>
  <c r="K940" i="97"/>
  <c r="M1004" i="97"/>
  <c r="M1006" i="97" s="1"/>
  <c r="M1008" i="97" s="1"/>
  <c r="H58" i="73"/>
  <c r="M1296" i="97"/>
  <c r="N1296" i="97"/>
  <c r="D18" i="84"/>
  <c r="K40" i="84"/>
  <c r="P901" i="97"/>
  <c r="N925" i="97"/>
  <c r="L967" i="97"/>
  <c r="P86" i="97"/>
  <c r="P64" i="66"/>
  <c r="H1299" i="97"/>
  <c r="I1299" i="97"/>
  <c r="I1302" i="97"/>
  <c r="F1307" i="97"/>
  <c r="H1302" i="97"/>
  <c r="F634" i="97"/>
  <c r="F633" i="97"/>
  <c r="F131" i="78"/>
  <c r="Q244" i="75"/>
  <c r="B21" i="74"/>
  <c r="F130" i="78"/>
  <c r="P1003" i="97"/>
  <c r="O903" i="97"/>
  <c r="O905" i="97" s="1"/>
  <c r="O907" i="97" s="1"/>
  <c r="O1011" i="97" s="1"/>
  <c r="K993" i="97"/>
  <c r="P970" i="97"/>
  <c r="O955" i="97"/>
  <c r="K1004" i="97"/>
  <c r="P997" i="97"/>
  <c r="P897" i="97"/>
  <c r="Q1084" i="97"/>
  <c r="I1281" i="97"/>
  <c r="H1281" i="97"/>
  <c r="F1286" i="97"/>
  <c r="I42" i="73"/>
  <c r="H42" i="73"/>
  <c r="N58" i="73"/>
  <c r="M58" i="73"/>
  <c r="M1288" i="97"/>
  <c r="N1288" i="97"/>
  <c r="N1293" i="97" s="1"/>
  <c r="K1293" i="97"/>
  <c r="F1293" i="97"/>
  <c r="I1288" i="97"/>
  <c r="I1293" i="97" s="1"/>
  <c r="H1288" i="97"/>
  <c r="R1183" i="97"/>
  <c r="S1183" i="97" s="1"/>
  <c r="K68" i="84"/>
  <c r="I68" i="84"/>
  <c r="G68" i="84"/>
  <c r="E68" i="84"/>
  <c r="N961" i="97"/>
  <c r="K2163" i="97"/>
  <c r="N951" i="97"/>
  <c r="K955" i="97"/>
  <c r="P955" i="97" s="1"/>
  <c r="K990" i="97"/>
  <c r="P990" i="97" s="1"/>
  <c r="P979" i="97"/>
  <c r="N916" i="97"/>
  <c r="O992" i="97"/>
  <c r="O965" i="97"/>
  <c r="M171" i="75"/>
  <c r="M70" i="75"/>
  <c r="M76" i="75"/>
  <c r="M85" i="75"/>
  <c r="M88" i="75"/>
  <c r="M82" i="75"/>
  <c r="M79" i="75"/>
  <c r="M73" i="75"/>
  <c r="K2172" i="97"/>
  <c r="K2167" i="97"/>
  <c r="M967" i="97"/>
  <c r="M991" i="97"/>
  <c r="L1004" i="97"/>
  <c r="L1006" i="97" s="1"/>
  <c r="L1008" i="97" s="1"/>
  <c r="P980" i="97"/>
  <c r="M951" i="97"/>
  <c r="N1004" i="97"/>
  <c r="N1006" i="97" s="1"/>
  <c r="N1008" i="97" s="1"/>
  <c r="H1298" i="97"/>
  <c r="E13" i="84"/>
  <c r="H16" i="85" s="1"/>
  <c r="J32" i="95"/>
  <c r="H62" i="66"/>
  <c r="K75" i="84"/>
  <c r="K77" i="84" s="1"/>
  <c r="I75" i="84"/>
  <c r="I77" i="84" s="1"/>
  <c r="C77" i="84"/>
  <c r="G75" i="84"/>
  <c r="G77" i="84" s="1"/>
  <c r="E75" i="84"/>
  <c r="E77" i="84" s="1"/>
  <c r="P51" i="68"/>
  <c r="P52" i="68"/>
  <c r="I62" i="68"/>
  <c r="P47" i="68" s="1"/>
  <c r="P481" i="97" s="1"/>
  <c r="P896" i="97"/>
  <c r="K903" i="97"/>
  <c r="K2170" i="97"/>
  <c r="K2171" i="97"/>
  <c r="P935" i="97"/>
  <c r="K987" i="97"/>
  <c r="P976" i="97"/>
  <c r="N922" i="97"/>
  <c r="P975" i="97"/>
  <c r="H59" i="73"/>
  <c r="I59" i="73"/>
  <c r="M1285" i="97"/>
  <c r="N1285" i="97"/>
  <c r="L1611" i="97"/>
  <c r="L371" i="73"/>
  <c r="O991" i="97"/>
  <c r="O967" i="97"/>
  <c r="K994" i="97"/>
  <c r="P971" i="97"/>
  <c r="K53" i="73"/>
  <c r="N48" i="73"/>
  <c r="N53" i="73" s="1"/>
  <c r="M48" i="73"/>
  <c r="I48" i="73"/>
  <c r="I53" i="73" s="1"/>
  <c r="F53" i="73"/>
  <c r="H48" i="73"/>
  <c r="G22" i="74"/>
  <c r="H14" i="74"/>
  <c r="G24" i="74"/>
  <c r="G1120" i="97" s="1"/>
  <c r="O1827" i="97"/>
  <c r="E18" i="72"/>
  <c r="E1737" i="97" s="1"/>
  <c r="G66" i="73"/>
  <c r="G65" i="73"/>
  <c r="G64" i="73"/>
  <c r="P58" i="73"/>
  <c r="G42" i="73"/>
  <c r="G41" i="73"/>
  <c r="G62" i="73"/>
  <c r="G55" i="73"/>
  <c r="G45" i="73"/>
  <c r="G43" i="73"/>
  <c r="G59" i="73"/>
  <c r="G58" i="73"/>
  <c r="G56" i="73"/>
  <c r="G52" i="73"/>
  <c r="G50" i="73"/>
  <c r="G63" i="73"/>
  <c r="G48" i="73"/>
  <c r="G44" i="73"/>
  <c r="G57" i="73"/>
  <c r="G51" i="73"/>
  <c r="G49" i="73"/>
  <c r="P968" i="97"/>
  <c r="K967" i="97"/>
  <c r="K991" i="97"/>
  <c r="O940" i="97"/>
  <c r="N1281" i="97"/>
  <c r="K1286" i="97"/>
  <c r="M1281" i="97"/>
  <c r="O1947" i="97"/>
  <c r="E23" i="72"/>
  <c r="E1742" i="97" s="1"/>
  <c r="L903" i="97"/>
  <c r="L905" i="97" s="1"/>
  <c r="L907" i="97" s="1"/>
  <c r="L1011" i="97" s="1"/>
  <c r="P978" i="97"/>
  <c r="K989" i="97"/>
  <c r="P989" i="97" s="1"/>
  <c r="O171" i="75"/>
  <c r="O76" i="75"/>
  <c r="O79" i="75"/>
  <c r="O82" i="75"/>
  <c r="O88" i="75"/>
  <c r="O73" i="75"/>
  <c r="O70" i="75"/>
  <c r="O85" i="75"/>
  <c r="P166" i="75"/>
  <c r="K168" i="75"/>
  <c r="P168" i="75" s="1"/>
  <c r="R1130" i="97"/>
  <c r="R1135" i="97"/>
  <c r="R1128" i="97"/>
  <c r="R1123" i="97"/>
  <c r="R1119" i="97"/>
  <c r="R1136" i="97"/>
  <c r="R1126" i="97"/>
  <c r="R1125" i="97"/>
  <c r="R1121" i="97"/>
  <c r="R1131" i="97"/>
  <c r="R1129" i="97"/>
  <c r="R1124" i="97"/>
  <c r="R1120" i="97"/>
  <c r="R1134" i="97"/>
  <c r="R1132" i="97"/>
  <c r="R1122" i="97"/>
  <c r="R1133" i="97"/>
  <c r="P939" i="97"/>
  <c r="P904" i="97"/>
  <c r="Q1005" i="97" s="1"/>
  <c r="P906" i="97"/>
  <c r="Q1007" i="97" s="1"/>
  <c r="P953" i="97"/>
  <c r="G1611" i="97"/>
  <c r="I86" i="97"/>
  <c r="G371" i="73"/>
  <c r="I62" i="66"/>
  <c r="I1282" i="97"/>
  <c r="H1282" i="97"/>
  <c r="M1298" i="97"/>
  <c r="N1298" i="97"/>
  <c r="M62" i="73"/>
  <c r="N62" i="73"/>
  <c r="K67" i="73"/>
  <c r="M59" i="73"/>
  <c r="N59" i="73"/>
  <c r="F1118" i="97"/>
  <c r="D1136" i="97"/>
  <c r="E44" i="74"/>
  <c r="K951" i="97"/>
  <c r="P944" i="97"/>
  <c r="M940" i="97"/>
  <c r="P1002" i="97"/>
  <c r="N965" i="97"/>
  <c r="N992" i="97"/>
  <c r="N988" i="97"/>
  <c r="P946" i="97"/>
  <c r="L928" i="97"/>
  <c r="P954" i="97"/>
  <c r="L951" i="97"/>
  <c r="P938" i="97"/>
  <c r="I44" i="73"/>
  <c r="H44" i="73"/>
  <c r="K46" i="73"/>
  <c r="K69" i="73" s="1"/>
  <c r="N41" i="73"/>
  <c r="M41" i="73"/>
  <c r="I57" i="73"/>
  <c r="H57" i="73"/>
  <c r="M1295" i="97"/>
  <c r="K1300" i="97"/>
  <c r="N1295" i="97"/>
  <c r="D22" i="86"/>
  <c r="E21" i="86"/>
  <c r="P934" i="97"/>
  <c r="P900" i="97"/>
  <c r="O987" i="97"/>
  <c r="P983" i="97"/>
  <c r="N57" i="73"/>
  <c r="M57" i="73"/>
  <c r="K67" i="75"/>
  <c r="P65" i="75"/>
  <c r="P485" i="97"/>
  <c r="P486" i="97"/>
  <c r="P1827" i="97"/>
  <c r="Q58" i="73"/>
  <c r="N913" i="97"/>
  <c r="H2179" i="97"/>
  <c r="C2185" i="97"/>
  <c r="K988" i="97"/>
  <c r="P977" i="97"/>
  <c r="J552" i="97"/>
  <c r="F551" i="97"/>
  <c r="F558" i="97"/>
  <c r="B561" i="97"/>
  <c r="F552" i="97"/>
  <c r="N993" i="97"/>
  <c r="P1001" i="97"/>
  <c r="L940" i="97"/>
  <c r="O994" i="97"/>
  <c r="N919" i="97"/>
  <c r="L988" i="97"/>
  <c r="Q1076" i="97"/>
  <c r="N171" i="75"/>
  <c r="N73" i="75"/>
  <c r="N76" i="75"/>
  <c r="N88" i="75"/>
  <c r="N85" i="75"/>
  <c r="N70" i="75"/>
  <c r="N79" i="75"/>
  <c r="N82" i="75"/>
  <c r="P45" i="72"/>
  <c r="H55" i="66"/>
  <c r="M45" i="73"/>
  <c r="N45" i="73"/>
  <c r="L171" i="75"/>
  <c r="L76" i="75"/>
  <c r="L73" i="75"/>
  <c r="L88" i="75"/>
  <c r="L82" i="75"/>
  <c r="L85" i="75"/>
  <c r="L79" i="75"/>
  <c r="L70" i="75"/>
  <c r="B20" i="82"/>
  <c r="B21" i="82" s="1"/>
  <c r="R1213" i="97"/>
  <c r="S1213" i="97" s="1"/>
  <c r="I47" i="68"/>
  <c r="O961" i="97"/>
  <c r="O919" i="97"/>
  <c r="M988" i="97"/>
  <c r="P902" i="97"/>
  <c r="P1077" i="97"/>
  <c r="Q1077" i="97"/>
  <c r="H55" i="73"/>
  <c r="F60" i="73"/>
  <c r="I55" i="73"/>
  <c r="M1299" i="97"/>
  <c r="N1299" i="97"/>
  <c r="R1151" i="97"/>
  <c r="S1151" i="97" s="1"/>
  <c r="K2161" i="97"/>
  <c r="N940" i="97"/>
  <c r="M958" i="97"/>
  <c r="C38" i="84"/>
  <c r="P960" i="97"/>
  <c r="L994" i="97"/>
  <c r="M961" i="97"/>
  <c r="P899" i="97"/>
  <c r="N987" i="97"/>
  <c r="P947" i="97"/>
  <c r="L925" i="97"/>
  <c r="K961" i="97"/>
  <c r="O19" i="86"/>
  <c r="O23" i="86" s="1"/>
  <c r="O25" i="86" s="1"/>
  <c r="O31" i="86" s="1"/>
  <c r="E612" i="97"/>
  <c r="I612" i="97" s="1"/>
  <c r="E109" i="78"/>
  <c r="I109" i="78" s="1"/>
  <c r="H1284" i="97"/>
  <c r="I1284" i="97"/>
  <c r="H56" i="73"/>
  <c r="I56" i="73"/>
  <c r="H1297" i="97"/>
  <c r="E40" i="74"/>
  <c r="C1136" i="97"/>
  <c r="E10" i="86"/>
  <c r="N928" i="97"/>
  <c r="K2164" i="97"/>
  <c r="P956" i="97"/>
  <c r="M965" i="97"/>
  <c r="M992" i="97"/>
  <c r="P950" i="97"/>
  <c r="L916" i="97"/>
  <c r="P1005" i="97"/>
  <c r="P948" i="97"/>
  <c r="M1297" i="97"/>
  <c r="N1297" i="97"/>
  <c r="N56" i="73"/>
  <c r="M56" i="73"/>
  <c r="B1136" i="97"/>
  <c r="D10" i="86"/>
  <c r="C10" i="86"/>
  <c r="K2169" i="97"/>
  <c r="P957" i="97"/>
  <c r="D1127" i="97"/>
  <c r="D53" i="82"/>
  <c r="E31" i="74"/>
  <c r="K2178" i="97"/>
  <c r="K2162" i="97"/>
  <c r="K992" i="97"/>
  <c r="K965" i="97"/>
  <c r="P969" i="97"/>
  <c r="E544" i="97"/>
  <c r="G540" i="97" s="1"/>
  <c r="O1004" i="97"/>
  <c r="O1006" i="97" s="1"/>
  <c r="O1008" i="97" s="1"/>
  <c r="P936" i="97"/>
  <c r="N991" i="97"/>
  <c r="N967" i="97"/>
  <c r="O958" i="97"/>
  <c r="P1000" i="97"/>
  <c r="M903" i="97"/>
  <c r="M905" i="97" s="1"/>
  <c r="M907" i="97" s="1"/>
  <c r="M1011" i="97" s="1"/>
  <c r="P999" i="97"/>
  <c r="L51" i="73" l="1"/>
  <c r="G1291" i="97"/>
  <c r="L1291" i="97" s="1"/>
  <c r="L58" i="73"/>
  <c r="G1298" i="97"/>
  <c r="L1298" i="97" s="1"/>
  <c r="L57" i="73"/>
  <c r="G1297" i="97"/>
  <c r="L50" i="73"/>
  <c r="G1290" i="97"/>
  <c r="L1290" i="97" s="1"/>
  <c r="L59" i="73"/>
  <c r="G1299" i="97"/>
  <c r="L1299" i="97" s="1"/>
  <c r="L62" i="73"/>
  <c r="G1302" i="97"/>
  <c r="L1302" i="97" s="1"/>
  <c r="L64" i="73"/>
  <c r="G1304" i="97"/>
  <c r="L1304" i="97" s="1"/>
  <c r="L63" i="73"/>
  <c r="G1303" i="97"/>
  <c r="L1303" i="97" s="1"/>
  <c r="L44" i="73"/>
  <c r="G1284" i="97"/>
  <c r="L1284" i="97" s="1"/>
  <c r="L52" i="73"/>
  <c r="G1292" i="97"/>
  <c r="L1292" i="97" s="1"/>
  <c r="L43" i="73"/>
  <c r="G1283" i="97"/>
  <c r="L1283" i="97" s="1"/>
  <c r="L41" i="73"/>
  <c r="G1281" i="97"/>
  <c r="L1281" i="97" s="1"/>
  <c r="L65" i="73"/>
  <c r="G1305" i="97"/>
  <c r="L1305" i="97" s="1"/>
  <c r="L55" i="73"/>
  <c r="G1295" i="97"/>
  <c r="L1295" i="97" s="1"/>
  <c r="L49" i="73"/>
  <c r="G1289" i="97"/>
  <c r="L1289" i="97" s="1"/>
  <c r="L48" i="73"/>
  <c r="G1288" i="97"/>
  <c r="L1288" i="97" s="1"/>
  <c r="L56" i="73"/>
  <c r="G1296" i="97"/>
  <c r="L1296" i="97" s="1"/>
  <c r="L45" i="73"/>
  <c r="G1285" i="97"/>
  <c r="L1285" i="97" s="1"/>
  <c r="L42" i="73"/>
  <c r="G1282" i="97"/>
  <c r="L1282" i="97" s="1"/>
  <c r="L66" i="73"/>
  <c r="G1306" i="97"/>
  <c r="L1306" i="97" s="1"/>
  <c r="H63" i="73"/>
  <c r="I63" i="73"/>
  <c r="O913" i="97"/>
  <c r="F67" i="73"/>
  <c r="H1303" i="97"/>
  <c r="I1303" i="97"/>
  <c r="P992" i="97"/>
  <c r="P670" i="97"/>
  <c r="P671" i="97" s="1"/>
  <c r="P673" i="97" s="1"/>
  <c r="I1305" i="97"/>
  <c r="H1305" i="97"/>
  <c r="O928" i="97"/>
  <c r="P46" i="72"/>
  <c r="P1765" i="97" s="1"/>
  <c r="I65" i="73"/>
  <c r="H65" i="73"/>
  <c r="P961" i="97"/>
  <c r="N1305" i="97"/>
  <c r="M1305" i="97"/>
  <c r="M63" i="73"/>
  <c r="N63" i="73"/>
  <c r="N42" i="73"/>
  <c r="N46" i="73" s="1"/>
  <c r="M42" i="73"/>
  <c r="P958" i="97"/>
  <c r="K1307" i="97"/>
  <c r="I45" i="73"/>
  <c r="I46" i="73" s="1"/>
  <c r="H45" i="73"/>
  <c r="M43" i="73"/>
  <c r="N43" i="73"/>
  <c r="I64" i="73"/>
  <c r="I67" i="73" s="1"/>
  <c r="H64" i="73"/>
  <c r="M1284" i="97"/>
  <c r="N1284" i="97"/>
  <c r="H43" i="73"/>
  <c r="I43" i="73"/>
  <c r="P176" i="75"/>
  <c r="H1285" i="97"/>
  <c r="I1285" i="97"/>
  <c r="I1286" i="97" s="1"/>
  <c r="M1283" i="97"/>
  <c r="N1283" i="97"/>
  <c r="H1304" i="97"/>
  <c r="I1304" i="97"/>
  <c r="I1307" i="97" s="1"/>
  <c r="M44" i="73"/>
  <c r="N44" i="73"/>
  <c r="I1283" i="97"/>
  <c r="H1283" i="97"/>
  <c r="P965" i="97"/>
  <c r="N65" i="73"/>
  <c r="M65" i="73"/>
  <c r="M1303" i="97"/>
  <c r="N1303" i="97"/>
  <c r="M1282" i="97"/>
  <c r="N1282" i="97"/>
  <c r="M910" i="97"/>
  <c r="M922" i="97"/>
  <c r="H7" i="84"/>
  <c r="H79" i="97"/>
  <c r="M925" i="97"/>
  <c r="E1140" i="97"/>
  <c r="F44" i="74"/>
  <c r="P967" i="97"/>
  <c r="G1118" i="97"/>
  <c r="P994" i="97"/>
  <c r="J167" i="78"/>
  <c r="J168" i="78" s="1"/>
  <c r="L922" i="97"/>
  <c r="M919" i="97"/>
  <c r="B1117" i="97"/>
  <c r="E21" i="74"/>
  <c r="E1117" i="97" s="1"/>
  <c r="H21" i="74"/>
  <c r="H1117" i="97" s="1"/>
  <c r="D21" i="74"/>
  <c r="D1117" i="97" s="1"/>
  <c r="F21" i="74"/>
  <c r="F1117" i="97" s="1"/>
  <c r="C21" i="74"/>
  <c r="C1117" i="97" s="1"/>
  <c r="G21" i="74"/>
  <c r="G1117" i="97" s="1"/>
  <c r="P940" i="97"/>
  <c r="Q999" i="97"/>
  <c r="B1111" i="97"/>
  <c r="C52" i="84"/>
  <c r="E15" i="74"/>
  <c r="B16" i="74"/>
  <c r="H15" i="74"/>
  <c r="D15" i="74"/>
  <c r="G15" i="74"/>
  <c r="B17" i="74"/>
  <c r="K8" i="74" s="1"/>
  <c r="F15" i="74"/>
  <c r="C15" i="74"/>
  <c r="E1136" i="97"/>
  <c r="F40" i="74"/>
  <c r="Q1000" i="97"/>
  <c r="I481" i="97"/>
  <c r="P1764" i="97"/>
  <c r="M43" i="72"/>
  <c r="M913" i="97"/>
  <c r="P988" i="97"/>
  <c r="P487" i="97"/>
  <c r="N1300" i="97"/>
  <c r="M916" i="97"/>
  <c r="P951" i="97"/>
  <c r="F10" i="86"/>
  <c r="J49" i="78"/>
  <c r="J58" i="78"/>
  <c r="L910" i="97"/>
  <c r="P987" i="97"/>
  <c r="K905" i="97"/>
  <c r="P903" i="97"/>
  <c r="M167" i="78"/>
  <c r="M168" i="78" s="1"/>
  <c r="M170" i="78" s="1"/>
  <c r="M670" i="97"/>
  <c r="M671" i="97" s="1"/>
  <c r="M673" i="97" s="1"/>
  <c r="F1309" i="97"/>
  <c r="O910" i="97"/>
  <c r="O925" i="97"/>
  <c r="Q1002" i="97"/>
  <c r="O922" i="97"/>
  <c r="I58" i="73"/>
  <c r="I60" i="73" s="1"/>
  <c r="I1296" i="97"/>
  <c r="E66" i="84"/>
  <c r="K66" i="84"/>
  <c r="I66" i="84"/>
  <c r="G66" i="84"/>
  <c r="P1080" i="97"/>
  <c r="Q1079" i="97"/>
  <c r="P1079" i="97"/>
  <c r="E1127" i="97"/>
  <c r="F31" i="74"/>
  <c r="E53" i="82"/>
  <c r="J561" i="97"/>
  <c r="F561" i="97"/>
  <c r="F560" i="97"/>
  <c r="B2191" i="97"/>
  <c r="D2185" i="97"/>
  <c r="K1812" i="97"/>
  <c r="O1812" i="97" s="1"/>
  <c r="L1812" i="97"/>
  <c r="P1812" i="97" s="1"/>
  <c r="L93" i="72"/>
  <c r="P93" i="72" s="1"/>
  <c r="P92" i="72" s="1"/>
  <c r="K93" i="72"/>
  <c r="O93" i="72" s="1"/>
  <c r="O92" i="72" s="1"/>
  <c r="J93" i="72"/>
  <c r="P169" i="66"/>
  <c r="P193" i="97" s="1"/>
  <c r="P168" i="66"/>
  <c r="P192" i="97" s="1"/>
  <c r="P167" i="66"/>
  <c r="P191" i="97" s="1"/>
  <c r="F48" i="78"/>
  <c r="F57" i="78"/>
  <c r="M928" i="97"/>
  <c r="F49" i="78"/>
  <c r="F58" i="78"/>
  <c r="P991" i="97"/>
  <c r="C81" i="84"/>
  <c r="C80" i="84"/>
  <c r="P167" i="78"/>
  <c r="P168" i="78" s="1"/>
  <c r="P170" i="78" s="1"/>
  <c r="Q998" i="97"/>
  <c r="P993" i="97"/>
  <c r="P88" i="97"/>
  <c r="P66" i="66"/>
  <c r="N60" i="73"/>
  <c r="N1011" i="97"/>
  <c r="B1119" i="97"/>
  <c r="C13" i="86"/>
  <c r="E23" i="74"/>
  <c r="H23" i="74"/>
  <c r="D23" i="74"/>
  <c r="G23" i="74"/>
  <c r="F23" i="74"/>
  <c r="C23" i="74"/>
  <c r="Q1003" i="97"/>
  <c r="Q1080" i="97"/>
  <c r="P67" i="75"/>
  <c r="J560" i="97" s="1"/>
  <c r="K171" i="75"/>
  <c r="K88" i="75"/>
  <c r="K82" i="75"/>
  <c r="K79" i="75"/>
  <c r="K73" i="75"/>
  <c r="K70" i="75"/>
  <c r="K85" i="75"/>
  <c r="K76" i="75"/>
  <c r="Q1001" i="97"/>
  <c r="E22" i="86"/>
  <c r="F21" i="86"/>
  <c r="L919" i="97"/>
  <c r="L913" i="97"/>
  <c r="K1309" i="97"/>
  <c r="H24" i="74"/>
  <c r="H1120" i="97" s="1"/>
  <c r="H22" i="74"/>
  <c r="I14" i="74"/>
  <c r="I15" i="74" s="1"/>
  <c r="Q997" i="97"/>
  <c r="P53" i="68"/>
  <c r="H86" i="97"/>
  <c r="H64" i="66"/>
  <c r="J670" i="97"/>
  <c r="J671" i="97" s="1"/>
  <c r="J673" i="97" s="1"/>
  <c r="J674" i="97" s="1"/>
  <c r="K1006" i="97"/>
  <c r="P1004" i="97"/>
  <c r="F69" i="73"/>
  <c r="O916" i="97"/>
  <c r="N1072" i="97"/>
  <c r="Q1072" i="97"/>
  <c r="N67" i="73" l="1"/>
  <c r="I1297" i="97"/>
  <c r="I1300" i="97" s="1"/>
  <c r="H1309" i="97" s="1"/>
  <c r="P1303" i="97" s="1"/>
  <c r="L1297" i="97"/>
  <c r="I1298" i="97"/>
  <c r="N1307" i="97"/>
  <c r="M69" i="73"/>
  <c r="N1286" i="97"/>
  <c r="M1309" i="97" s="1"/>
  <c r="J4" i="91"/>
  <c r="I1111" i="97"/>
  <c r="G1119" i="97"/>
  <c r="H13" i="86"/>
  <c r="H1119" i="97"/>
  <c r="I13" i="86"/>
  <c r="P90" i="97"/>
  <c r="P94" i="97" s="1"/>
  <c r="P70" i="66"/>
  <c r="P1811" i="97"/>
  <c r="P84" i="72"/>
  <c r="K6" i="74"/>
  <c r="B20" i="74"/>
  <c r="H88" i="97"/>
  <c r="H66" i="66"/>
  <c r="H90" i="97" s="1"/>
  <c r="G21" i="86"/>
  <c r="F22" i="86"/>
  <c r="O2062" i="97"/>
  <c r="O2063" i="97" s="1"/>
  <c r="O2056" i="97"/>
  <c r="O2057" i="97" s="1"/>
  <c r="H1940" i="97"/>
  <c r="M1564" i="97"/>
  <c r="L1564" i="97" s="1"/>
  <c r="E1611" i="97"/>
  <c r="N1611" i="97" s="1"/>
  <c r="J2036" i="97"/>
  <c r="M1561" i="97"/>
  <c r="L1561" i="97" s="1"/>
  <c r="O1468" i="97"/>
  <c r="AE630" i="97"/>
  <c r="AE629" i="97"/>
  <c r="AE627" i="97"/>
  <c r="E558" i="97"/>
  <c r="G557" i="97" s="1"/>
  <c r="E371" i="73"/>
  <c r="N371" i="73" s="1"/>
  <c r="AE628" i="97"/>
  <c r="AE625" i="97"/>
  <c r="O343" i="72"/>
  <c r="O344" i="72" s="1"/>
  <c r="O337" i="72"/>
  <c r="O338" i="72" s="1"/>
  <c r="AE626" i="97"/>
  <c r="D651" i="97"/>
  <c r="F636" i="97"/>
  <c r="H221" i="72"/>
  <c r="M321" i="73"/>
  <c r="L321" i="73" s="1"/>
  <c r="O228" i="73"/>
  <c r="K234" i="75"/>
  <c r="C13" i="84"/>
  <c r="A9" i="83" s="1"/>
  <c r="J317" i="72"/>
  <c r="M324" i="73"/>
  <c r="L324" i="73" s="1"/>
  <c r="K232" i="75"/>
  <c r="J49" i="75"/>
  <c r="AE124" i="78"/>
  <c r="E87" i="78"/>
  <c r="N90" i="66"/>
  <c r="N114" i="97" s="1"/>
  <c r="F133" i="78"/>
  <c r="AE123" i="78"/>
  <c r="AE126" i="78"/>
  <c r="AE125" i="78"/>
  <c r="E55" i="78"/>
  <c r="G54" i="78" s="1"/>
  <c r="N87" i="66"/>
  <c r="N111" i="97" s="1"/>
  <c r="D148" i="78"/>
  <c r="K233" i="75"/>
  <c r="AE127" i="78"/>
  <c r="AE122" i="78"/>
  <c r="AF122" i="78" s="1"/>
  <c r="E127" i="78" s="1"/>
  <c r="A127" i="78" s="1"/>
  <c r="J50" i="75"/>
  <c r="E590" i="97"/>
  <c r="J48" i="78"/>
  <c r="O219" i="75"/>
  <c r="P70" i="75"/>
  <c r="P82" i="75"/>
  <c r="P85" i="75"/>
  <c r="P76" i="75"/>
  <c r="P73" i="75"/>
  <c r="P79" i="75"/>
  <c r="O218" i="75"/>
  <c r="J57" i="78"/>
  <c r="P88" i="75"/>
  <c r="N225" i="75"/>
  <c r="P226" i="75"/>
  <c r="J551" i="97"/>
  <c r="C1119" i="97"/>
  <c r="D13" i="86"/>
  <c r="F1119" i="97"/>
  <c r="G13" i="86"/>
  <c r="B39" i="74"/>
  <c r="B1135" i="97" s="1"/>
  <c r="F1111" i="97"/>
  <c r="D1111" i="97"/>
  <c r="F1140" i="97"/>
  <c r="G44" i="74"/>
  <c r="E47" i="92"/>
  <c r="E26" i="89"/>
  <c r="P1006" i="97"/>
  <c r="K1008" i="97"/>
  <c r="P1008" i="97" s="1"/>
  <c r="I24" i="74"/>
  <c r="I1120" i="97" s="1"/>
  <c r="I22" i="74"/>
  <c r="J14" i="74"/>
  <c r="E1119" i="97"/>
  <c r="F13" i="86"/>
  <c r="H69" i="73"/>
  <c r="P63" i="73" s="1"/>
  <c r="F1136" i="97"/>
  <c r="G40" i="74"/>
  <c r="C1111" i="97"/>
  <c r="B1113" i="97"/>
  <c r="C54" i="84"/>
  <c r="G1111" i="97"/>
  <c r="H1111" i="97"/>
  <c r="K52" i="84"/>
  <c r="I52" i="84"/>
  <c r="G52" i="84"/>
  <c r="E52" i="84"/>
  <c r="G15" i="82"/>
  <c r="G19" i="82" s="1"/>
  <c r="G20" i="82" s="1"/>
  <c r="J170" i="78"/>
  <c r="J171" i="78" s="1"/>
  <c r="H1118" i="97"/>
  <c r="D1119" i="97"/>
  <c r="E13" i="86"/>
  <c r="I23" i="74"/>
  <c r="O1811" i="97"/>
  <c r="O84" i="72"/>
  <c r="D2191" i="97"/>
  <c r="I2185" i="97"/>
  <c r="K2191" i="97" s="1"/>
  <c r="K2196" i="97" s="1"/>
  <c r="F1127" i="97"/>
  <c r="G31" i="74"/>
  <c r="F53" i="82"/>
  <c r="P905" i="97"/>
  <c r="K907" i="97"/>
  <c r="M1762" i="97"/>
  <c r="L330" i="72"/>
  <c r="S696" i="97"/>
  <c r="L108" i="72"/>
  <c r="L98" i="72"/>
  <c r="K220" i="72"/>
  <c r="L84" i="72"/>
  <c r="S193" i="78"/>
  <c r="M401" i="72"/>
  <c r="G10" i="86"/>
  <c r="B1112" i="97"/>
  <c r="G16" i="74"/>
  <c r="G1112" i="97" s="1"/>
  <c r="C16" i="74"/>
  <c r="C1112" i="97" s="1"/>
  <c r="J16" i="74"/>
  <c r="J1112" i="97" s="1"/>
  <c r="F16" i="74"/>
  <c r="F1112" i="97" s="1"/>
  <c r="C53" i="84"/>
  <c r="H16" i="74"/>
  <c r="H1112" i="97" s="1"/>
  <c r="E16" i="74"/>
  <c r="E1112" i="97" s="1"/>
  <c r="D16" i="74"/>
  <c r="D1112" i="97" s="1"/>
  <c r="I16" i="74"/>
  <c r="I1112" i="97" s="1"/>
  <c r="E1111" i="97"/>
  <c r="E17" i="74"/>
  <c r="E1113" i="97" s="1"/>
  <c r="L4" i="95"/>
  <c r="I21" i="74"/>
  <c r="I1117" i="97" s="1"/>
  <c r="AF628" i="97" l="1"/>
  <c r="E20" i="74"/>
  <c r="E39" i="74"/>
  <c r="E1135" i="97" s="1"/>
  <c r="I53" i="84"/>
  <c r="I54" i="84" s="1"/>
  <c r="G53" i="84"/>
  <c r="G54" i="84" s="1"/>
  <c r="K53" i="84"/>
  <c r="K54" i="84" s="1"/>
  <c r="E53" i="84"/>
  <c r="E54" i="84" s="1"/>
  <c r="G1136" i="97"/>
  <c r="H40" i="74"/>
  <c r="F17" i="74"/>
  <c r="F1113" i="97" s="1"/>
  <c r="P77" i="75"/>
  <c r="P78" i="75" s="1"/>
  <c r="K77" i="75"/>
  <c r="K78" i="75" s="1"/>
  <c r="N77" i="75"/>
  <c r="N78" i="75" s="1"/>
  <c r="L77" i="75"/>
  <c r="L78" i="75" s="1"/>
  <c r="O77" i="75"/>
  <c r="O78" i="75" s="1"/>
  <c r="M77" i="75"/>
  <c r="M78" i="75" s="1"/>
  <c r="M318" i="72"/>
  <c r="J318" i="72"/>
  <c r="J319" i="72" s="1"/>
  <c r="M2037" i="97"/>
  <c r="J2037" i="97"/>
  <c r="J2038" i="97" s="1"/>
  <c r="P1803" i="97"/>
  <c r="P2120" i="97" s="1"/>
  <c r="P1725" i="97" s="1"/>
  <c r="P401" i="72"/>
  <c r="P6" i="72" s="1"/>
  <c r="E1116" i="97"/>
  <c r="E25" i="74"/>
  <c r="L1803" i="97"/>
  <c r="L1827" i="97"/>
  <c r="L1817" i="97"/>
  <c r="M2120" i="97"/>
  <c r="G1127" i="97"/>
  <c r="G53" i="82"/>
  <c r="H31" i="74"/>
  <c r="O1803" i="97"/>
  <c r="O2120" i="97" s="1"/>
  <c r="O1725" i="97" s="1"/>
  <c r="O401" i="72"/>
  <c r="O6" i="72" s="1"/>
  <c r="E56" i="84"/>
  <c r="E64" i="84" s="1"/>
  <c r="E70" i="84" s="1"/>
  <c r="K56" i="84"/>
  <c r="K64" i="84" s="1"/>
  <c r="K70" i="84" s="1"/>
  <c r="H17" i="74"/>
  <c r="H1113" i="97" s="1"/>
  <c r="C17" i="74"/>
  <c r="C1113" i="97" s="1"/>
  <c r="H10" i="86"/>
  <c r="G1140" i="97"/>
  <c r="H44" i="74"/>
  <c r="D17" i="74"/>
  <c r="D1113" i="97" s="1"/>
  <c r="F20" i="74"/>
  <c r="P86" i="75"/>
  <c r="P87" i="75" s="1"/>
  <c r="M86" i="75"/>
  <c r="M87" i="75" s="1"/>
  <c r="L86" i="75"/>
  <c r="L87" i="75" s="1"/>
  <c r="N86" i="75"/>
  <c r="N87" i="75" s="1"/>
  <c r="K86" i="75"/>
  <c r="K87" i="75" s="1"/>
  <c r="O86" i="75"/>
  <c r="O87" i="75" s="1"/>
  <c r="D17" i="83"/>
  <c r="F52" i="89"/>
  <c r="F16" i="85"/>
  <c r="H19" i="84"/>
  <c r="C19" i="84"/>
  <c r="P907" i="97"/>
  <c r="K1011" i="97"/>
  <c r="K913" i="97"/>
  <c r="K925" i="97"/>
  <c r="K916" i="97"/>
  <c r="K910" i="97"/>
  <c r="K922" i="97"/>
  <c r="K928" i="97"/>
  <c r="K919" i="97"/>
  <c r="G56" i="84"/>
  <c r="G64" i="84" s="1"/>
  <c r="G70" i="84" s="1"/>
  <c r="C20" i="74"/>
  <c r="K14" i="74"/>
  <c r="J24" i="74"/>
  <c r="J1120" i="97" s="1"/>
  <c r="J22" i="74"/>
  <c r="J21" i="74"/>
  <c r="J1117" i="97" s="1"/>
  <c r="J15" i="74"/>
  <c r="J23" i="74"/>
  <c r="P80" i="75"/>
  <c r="P81" i="75" s="1"/>
  <c r="K80" i="75"/>
  <c r="K81" i="75" s="1"/>
  <c r="O80" i="75"/>
  <c r="O81" i="75" s="1"/>
  <c r="L80" i="75"/>
  <c r="L81" i="75" s="1"/>
  <c r="M80" i="75"/>
  <c r="M81" i="75" s="1"/>
  <c r="N80" i="75"/>
  <c r="N81" i="75" s="1"/>
  <c r="P83" i="75"/>
  <c r="P84" i="75" s="1"/>
  <c r="O83" i="75"/>
  <c r="O84" i="75" s="1"/>
  <c r="M83" i="75"/>
  <c r="M84" i="75" s="1"/>
  <c r="L83" i="75"/>
  <c r="L84" i="75" s="1"/>
  <c r="N83" i="75"/>
  <c r="N84" i="75" s="1"/>
  <c r="K83" i="75"/>
  <c r="K84" i="75" s="1"/>
  <c r="AF125" i="78"/>
  <c r="B1116" i="97"/>
  <c r="B25" i="74"/>
  <c r="G651" i="97"/>
  <c r="K13" i="84"/>
  <c r="G148" i="78"/>
  <c r="P48" i="78"/>
  <c r="P57" i="78"/>
  <c r="P551" i="97"/>
  <c r="P560" i="97"/>
  <c r="I17" i="74"/>
  <c r="I1113" i="97" s="1"/>
  <c r="I1119" i="97"/>
  <c r="C33" i="86"/>
  <c r="I56" i="84"/>
  <c r="I64" i="84" s="1"/>
  <c r="I70" i="84" s="1"/>
  <c r="C56" i="84"/>
  <c r="C64" i="84" s="1"/>
  <c r="C70" i="84" s="1"/>
  <c r="G17" i="74"/>
  <c r="G1113" i="97" s="1"/>
  <c r="J682" i="97"/>
  <c r="M681" i="97" s="1"/>
  <c r="J179" i="78"/>
  <c r="I1118" i="97"/>
  <c r="D39" i="74"/>
  <c r="D1135" i="97" s="1"/>
  <c r="F39" i="74"/>
  <c r="F1135" i="97" s="1"/>
  <c r="P89" i="75"/>
  <c r="P90" i="75" s="1"/>
  <c r="L89" i="75"/>
  <c r="L90" i="75" s="1"/>
  <c r="M89" i="75"/>
  <c r="M90" i="75" s="1"/>
  <c r="O89" i="75"/>
  <c r="O90" i="75" s="1"/>
  <c r="N89" i="75"/>
  <c r="N90" i="75" s="1"/>
  <c r="K89" i="75"/>
  <c r="K90" i="75" s="1"/>
  <c r="P74" i="75"/>
  <c r="P75" i="75" s="1"/>
  <c r="M74" i="75"/>
  <c r="M75" i="75" s="1"/>
  <c r="K74" i="75"/>
  <c r="K75" i="75" s="1"/>
  <c r="O74" i="75"/>
  <c r="O75" i="75" s="1"/>
  <c r="L74" i="75"/>
  <c r="L75" i="75" s="1"/>
  <c r="N74" i="75"/>
  <c r="N75" i="75" s="1"/>
  <c r="P71" i="75"/>
  <c r="P72" i="75" s="1"/>
  <c r="K71" i="75"/>
  <c r="K72" i="75" s="1"/>
  <c r="O71" i="75"/>
  <c r="O72" i="75" s="1"/>
  <c r="L71" i="75"/>
  <c r="L72" i="75" s="1"/>
  <c r="N71" i="75"/>
  <c r="N72" i="75" s="1"/>
  <c r="M71" i="75"/>
  <c r="M72" i="75" s="1"/>
  <c r="AF625" i="97"/>
  <c r="H21" i="86"/>
  <c r="G22" i="86"/>
  <c r="H39" i="74" l="1"/>
  <c r="H1135" i="97" s="1"/>
  <c r="I39" i="74"/>
  <c r="I1135" i="97" s="1"/>
  <c r="J1119" i="97"/>
  <c r="D33" i="86"/>
  <c r="C72" i="84"/>
  <c r="C76" i="84"/>
  <c r="C73" i="84" s="1"/>
  <c r="B1121" i="97"/>
  <c r="B44" i="82"/>
  <c r="B33" i="74"/>
  <c r="B38" i="74"/>
  <c r="B1134" i="97" s="1"/>
  <c r="B34" i="74"/>
  <c r="B1130" i="97" s="1"/>
  <c r="J1111" i="97"/>
  <c r="J17" i="74"/>
  <c r="J1113" i="97" s="1"/>
  <c r="B46" i="74"/>
  <c r="K24" i="74"/>
  <c r="K1120" i="97" s="1"/>
  <c r="K22" i="74"/>
  <c r="K21" i="74"/>
  <c r="K1117" i="97" s="1"/>
  <c r="K15" i="74"/>
  <c r="K23" i="74"/>
  <c r="K16" i="74"/>
  <c r="K1112" i="97" s="1"/>
  <c r="H1140" i="97"/>
  <c r="I44" i="74"/>
  <c r="E1121" i="97"/>
  <c r="E33" i="74"/>
  <c r="E44" i="82"/>
  <c r="E38" i="74"/>
  <c r="E1134" i="97" s="1"/>
  <c r="E34" i="74"/>
  <c r="E1130" i="97" s="1"/>
  <c r="D20" i="74"/>
  <c r="C39" i="74"/>
  <c r="C1135" i="97" s="1"/>
  <c r="J182" i="78"/>
  <c r="M178" i="78"/>
  <c r="I76" i="84"/>
  <c r="I73" i="84" s="1"/>
  <c r="I72" i="84"/>
  <c r="C1116" i="97"/>
  <c r="C25" i="74"/>
  <c r="J890" i="97"/>
  <c r="K1072" i="97"/>
  <c r="J889" i="97"/>
  <c r="K1073" i="97"/>
  <c r="K1074" i="97"/>
  <c r="O1059" i="97"/>
  <c r="O1058" i="97"/>
  <c r="P1066" i="97"/>
  <c r="P913" i="97"/>
  <c r="P928" i="97"/>
  <c r="P922" i="97"/>
  <c r="P916" i="97"/>
  <c r="P919" i="97"/>
  <c r="P925" i="97"/>
  <c r="P910" i="97"/>
  <c r="K72" i="84"/>
  <c r="K76" i="84"/>
  <c r="K73" i="84" s="1"/>
  <c r="H1127" i="97"/>
  <c r="H53" i="82"/>
  <c r="I31" i="74"/>
  <c r="H1136" i="97"/>
  <c r="I40" i="74"/>
  <c r="G20" i="74"/>
  <c r="H22" i="86"/>
  <c r="I21" i="86"/>
  <c r="I22" i="86" s="1"/>
  <c r="H20" i="84"/>
  <c r="C20" i="84"/>
  <c r="J1118" i="97"/>
  <c r="J39" i="74"/>
  <c r="J1135" i="97" s="1"/>
  <c r="G72" i="84"/>
  <c r="G76" i="84"/>
  <c r="G73" i="84" s="1"/>
  <c r="I20" i="74"/>
  <c r="F1116" i="97"/>
  <c r="F25" i="74"/>
  <c r="E72" i="84"/>
  <c r="E76" i="84"/>
  <c r="E73" i="84" s="1"/>
  <c r="G39" i="74"/>
  <c r="G1135" i="97" s="1"/>
  <c r="I10" i="86"/>
  <c r="H20" i="74"/>
  <c r="J20" i="74" l="1"/>
  <c r="I1116" i="97"/>
  <c r="I25" i="74"/>
  <c r="P920" i="97"/>
  <c r="P921" i="97" s="1"/>
  <c r="M920" i="97"/>
  <c r="M921" i="97" s="1"/>
  <c r="O920" i="97"/>
  <c r="O921" i="97" s="1"/>
  <c r="N920" i="97"/>
  <c r="N921" i="97" s="1"/>
  <c r="K920" i="97"/>
  <c r="K921" i="97" s="1"/>
  <c r="L920" i="97"/>
  <c r="L921" i="97" s="1"/>
  <c r="P914" i="97"/>
  <c r="P915" i="97" s="1"/>
  <c r="N914" i="97"/>
  <c r="N915" i="97" s="1"/>
  <c r="K914" i="97"/>
  <c r="K915" i="97" s="1"/>
  <c r="O914" i="97"/>
  <c r="O915" i="97" s="1"/>
  <c r="L914" i="97"/>
  <c r="L915" i="97" s="1"/>
  <c r="M914" i="97"/>
  <c r="M915" i="97" s="1"/>
  <c r="D1116" i="97"/>
  <c r="D25" i="74"/>
  <c r="E1129" i="97"/>
  <c r="F9" i="86"/>
  <c r="K1118" i="97"/>
  <c r="J1116" i="97"/>
  <c r="J25" i="74"/>
  <c r="B1129" i="97"/>
  <c r="S21" i="74"/>
  <c r="C9" i="86"/>
  <c r="H1116" i="97"/>
  <c r="H25" i="74"/>
  <c r="G1116" i="97"/>
  <c r="G25" i="74"/>
  <c r="I1127" i="97"/>
  <c r="I53" i="82"/>
  <c r="J31" i="74"/>
  <c r="P917" i="97"/>
  <c r="P918" i="97" s="1"/>
  <c r="K917" i="97"/>
  <c r="K918" i="97" s="1"/>
  <c r="O917" i="97"/>
  <c r="O918" i="97" s="1"/>
  <c r="M917" i="97"/>
  <c r="M918" i="97" s="1"/>
  <c r="N917" i="97"/>
  <c r="N918" i="97" s="1"/>
  <c r="L917" i="97"/>
  <c r="L918" i="97" s="1"/>
  <c r="C1121" i="97"/>
  <c r="C44" i="82"/>
  <c r="C33" i="74"/>
  <c r="C38" i="74"/>
  <c r="C1134" i="97" s="1"/>
  <c r="C34" i="74"/>
  <c r="C1130" i="97" s="1"/>
  <c r="K1119" i="97"/>
  <c r="E33" i="86"/>
  <c r="B46" i="82"/>
  <c r="B51" i="82"/>
  <c r="F1121" i="97"/>
  <c r="F44" i="82"/>
  <c r="F33" i="74"/>
  <c r="F34" i="74"/>
  <c r="F1130" i="97" s="1"/>
  <c r="F38" i="74"/>
  <c r="F1134" i="97" s="1"/>
  <c r="P923" i="97"/>
  <c r="P924" i="97" s="1"/>
  <c r="N923" i="97"/>
  <c r="N924" i="97" s="1"/>
  <c r="K923" i="97"/>
  <c r="K924" i="97" s="1"/>
  <c r="L923" i="97"/>
  <c r="L924" i="97" s="1"/>
  <c r="O923" i="97"/>
  <c r="O924" i="97" s="1"/>
  <c r="M923" i="97"/>
  <c r="M924" i="97" s="1"/>
  <c r="J685" i="97"/>
  <c r="J687" i="97" s="1"/>
  <c r="J689" i="97" s="1"/>
  <c r="J692" i="97" s="1"/>
  <c r="J184" i="78"/>
  <c r="J186" i="78" s="1"/>
  <c r="I1140" i="97"/>
  <c r="J44" i="74"/>
  <c r="K1111" i="97"/>
  <c r="K17" i="74"/>
  <c r="K1113" i="97" s="1"/>
  <c r="B56" i="74"/>
  <c r="B1152" i="97" s="1"/>
  <c r="B54" i="74"/>
  <c r="C46" i="74"/>
  <c r="B47" i="74"/>
  <c r="B55" i="74"/>
  <c r="B53" i="74"/>
  <c r="B1149" i="97" s="1"/>
  <c r="B48" i="74"/>
  <c r="B1144" i="97" s="1"/>
  <c r="I1136" i="97"/>
  <c r="J40" i="74"/>
  <c r="D30" i="86" s="1"/>
  <c r="P911" i="97"/>
  <c r="P912" i="97" s="1"/>
  <c r="O911" i="97"/>
  <c r="O912" i="97" s="1"/>
  <c r="L911" i="97"/>
  <c r="L912" i="97" s="1"/>
  <c r="K911" i="97"/>
  <c r="K912" i="97" s="1"/>
  <c r="N911" i="97"/>
  <c r="N912" i="97" s="1"/>
  <c r="M911" i="97"/>
  <c r="M912" i="97" s="1"/>
  <c r="C30" i="86"/>
  <c r="P926" i="97"/>
  <c r="P927" i="97" s="1"/>
  <c r="K926" i="97"/>
  <c r="K927" i="97" s="1"/>
  <c r="N926" i="97"/>
  <c r="N927" i="97" s="1"/>
  <c r="M926" i="97"/>
  <c r="M927" i="97" s="1"/>
  <c r="O926" i="97"/>
  <c r="O927" i="97" s="1"/>
  <c r="L926" i="97"/>
  <c r="L927" i="97" s="1"/>
  <c r="P929" i="97"/>
  <c r="P930" i="97" s="1"/>
  <c r="O929" i="97"/>
  <c r="O930" i="97" s="1"/>
  <c r="M929" i="97"/>
  <c r="M930" i="97" s="1"/>
  <c r="L929" i="97"/>
  <c r="L930" i="97" s="1"/>
  <c r="K929" i="97"/>
  <c r="K930" i="97" s="1"/>
  <c r="N929" i="97"/>
  <c r="N930" i="97" s="1"/>
  <c r="E46" i="82"/>
  <c r="E51" i="82"/>
  <c r="B1151" i="97" l="1"/>
  <c r="F33" i="86"/>
  <c r="J1140" i="97"/>
  <c r="K44" i="74"/>
  <c r="F1129" i="97"/>
  <c r="G9" i="86"/>
  <c r="K39" i="74"/>
  <c r="K1135" i="97" s="1"/>
  <c r="D1121" i="97"/>
  <c r="D44" i="82"/>
  <c r="D33" i="74"/>
  <c r="D38" i="74"/>
  <c r="D1134" i="97" s="1"/>
  <c r="D34" i="74"/>
  <c r="D1130" i="97" s="1"/>
  <c r="B1143" i="97"/>
  <c r="B49" i="74"/>
  <c r="B1145" i="97" s="1"/>
  <c r="F51" i="82"/>
  <c r="F46" i="82"/>
  <c r="C1129" i="97"/>
  <c r="D9" i="86"/>
  <c r="G1121" i="97"/>
  <c r="G44" i="82"/>
  <c r="G33" i="74"/>
  <c r="G38" i="74"/>
  <c r="G1134" i="97" s="1"/>
  <c r="G34" i="74"/>
  <c r="G1130" i="97" s="1"/>
  <c r="S24" i="74"/>
  <c r="S1117" i="97"/>
  <c r="S1118" i="97"/>
  <c r="C56" i="74"/>
  <c r="C1152" i="97" s="1"/>
  <c r="C54" i="74"/>
  <c r="D46" i="74"/>
  <c r="C55" i="74"/>
  <c r="C53" i="74"/>
  <c r="C1149" i="97" s="1"/>
  <c r="C47" i="74"/>
  <c r="C48" i="74"/>
  <c r="C1144" i="97" s="1"/>
  <c r="K20" i="74"/>
  <c r="B15" i="82"/>
  <c r="J189" i="78"/>
  <c r="C51" i="82"/>
  <c r="C46" i="82"/>
  <c r="J1127" i="97"/>
  <c r="J53" i="82"/>
  <c r="K31" i="74"/>
  <c r="S25" i="74"/>
  <c r="S23" i="74"/>
  <c r="S22" i="74"/>
  <c r="J1121" i="97"/>
  <c r="J44" i="82"/>
  <c r="J33" i="74"/>
  <c r="J38" i="74"/>
  <c r="J1134" i="97" s="1"/>
  <c r="J34" i="74"/>
  <c r="J1130" i="97" s="1"/>
  <c r="F17" i="86"/>
  <c r="F18" i="86" s="1"/>
  <c r="F20" i="86" s="1"/>
  <c r="F24" i="86" s="1"/>
  <c r="K9" i="86" s="1"/>
  <c r="I1121" i="97"/>
  <c r="I44" i="82"/>
  <c r="I33" i="74"/>
  <c r="I38" i="74"/>
  <c r="I1134" i="97" s="1"/>
  <c r="I34" i="74"/>
  <c r="I1130" i="97" s="1"/>
  <c r="J1136" i="97"/>
  <c r="K40" i="74"/>
  <c r="E30" i="86" s="1"/>
  <c r="B1150" i="97"/>
  <c r="B71" i="74"/>
  <c r="B1167" i="97" s="1"/>
  <c r="H1121" i="97"/>
  <c r="H44" i="82"/>
  <c r="H33" i="74"/>
  <c r="S27" i="74" s="1"/>
  <c r="H38" i="74"/>
  <c r="H1134" i="97" s="1"/>
  <c r="H34" i="74"/>
  <c r="H1130" i="97" s="1"/>
  <c r="C17" i="86"/>
  <c r="C18" i="86" s="1"/>
  <c r="C20" i="86" s="1"/>
  <c r="C24" i="86" s="1"/>
  <c r="K6" i="86" s="1"/>
  <c r="G66" i="86" s="1"/>
  <c r="N92" i="85" s="1"/>
  <c r="S29" i="74" l="1"/>
  <c r="I1129" i="97"/>
  <c r="C29" i="86"/>
  <c r="C1143" i="97"/>
  <c r="C49" i="74"/>
  <c r="C1145" i="97" s="1"/>
  <c r="C1150" i="97"/>
  <c r="D17" i="86"/>
  <c r="D18" i="86" s="1"/>
  <c r="D20" i="86" s="1"/>
  <c r="D24" i="86" s="1"/>
  <c r="K7" i="86" s="1"/>
  <c r="J46" i="82"/>
  <c r="J51" i="82"/>
  <c r="H1129" i="97"/>
  <c r="I9" i="86"/>
  <c r="I46" i="82"/>
  <c r="I51" i="82"/>
  <c r="G1129" i="97"/>
  <c r="H9" i="86"/>
  <c r="B52" i="74"/>
  <c r="D1129" i="97"/>
  <c r="E9" i="86"/>
  <c r="G17" i="86"/>
  <c r="G18" i="86" s="1"/>
  <c r="G20" i="86" s="1"/>
  <c r="G24" i="86" s="1"/>
  <c r="K10" i="86" s="1"/>
  <c r="H51" i="82"/>
  <c r="H46" i="82"/>
  <c r="K1116" i="97"/>
  <c r="K25" i="74"/>
  <c r="C1151" i="97"/>
  <c r="G33" i="86"/>
  <c r="G51" i="82"/>
  <c r="G46" i="82"/>
  <c r="D51" i="82"/>
  <c r="D46" i="82"/>
  <c r="S28" i="74"/>
  <c r="K1136" i="97"/>
  <c r="B72" i="74"/>
  <c r="J1129" i="97"/>
  <c r="D29" i="86"/>
  <c r="K1127" i="97"/>
  <c r="B63" i="74"/>
  <c r="K53" i="82"/>
  <c r="D54" i="74"/>
  <c r="D56" i="74"/>
  <c r="D1152" i="97" s="1"/>
  <c r="E46" i="74"/>
  <c r="D47" i="74"/>
  <c r="D55" i="74"/>
  <c r="D53" i="74"/>
  <c r="D1149" i="97" s="1"/>
  <c r="D48" i="74"/>
  <c r="D1144" i="97" s="1"/>
  <c r="K1140" i="97"/>
  <c r="B76" i="74"/>
  <c r="S26" i="74"/>
  <c r="C52" i="74" l="1"/>
  <c r="D1143" i="97"/>
  <c r="D49" i="74"/>
  <c r="D1145" i="97" s="1"/>
  <c r="D37" i="86"/>
  <c r="D38" i="86" s="1"/>
  <c r="D40" i="86" s="1"/>
  <c r="D44" i="86" s="1"/>
  <c r="K14" i="86" s="1"/>
  <c r="S1120" i="97"/>
  <c r="S1121" i="97"/>
  <c r="S1119" i="97"/>
  <c r="S1122" i="97"/>
  <c r="S1124" i="97"/>
  <c r="S1125" i="97"/>
  <c r="S1123" i="97"/>
  <c r="I17" i="86"/>
  <c r="I18" i="86" s="1"/>
  <c r="I20" i="86" s="1"/>
  <c r="I24" i="86" s="1"/>
  <c r="K12" i="86" s="1"/>
  <c r="C37" i="86"/>
  <c r="C38" i="86" s="1"/>
  <c r="C40" i="86" s="1"/>
  <c r="C44" i="86" s="1"/>
  <c r="K13" i="86" s="1"/>
  <c r="B1172" i="97"/>
  <c r="C76" i="74"/>
  <c r="E54" i="74"/>
  <c r="F46" i="74"/>
  <c r="E56" i="74"/>
  <c r="E1152" i="97" s="1"/>
  <c r="E47" i="74"/>
  <c r="E53" i="74"/>
  <c r="E1149" i="97" s="1"/>
  <c r="E55" i="74"/>
  <c r="E48" i="74"/>
  <c r="E1144" i="97" s="1"/>
  <c r="B1148" i="97"/>
  <c r="B57" i="74"/>
  <c r="B1159" i="97"/>
  <c r="B73" i="82"/>
  <c r="C63" i="74"/>
  <c r="B1168" i="97"/>
  <c r="C72" i="74"/>
  <c r="G30" i="86" s="1"/>
  <c r="K1121" i="97"/>
  <c r="K44" i="82"/>
  <c r="K33" i="74"/>
  <c r="K38" i="74"/>
  <c r="K1134" i="97" s="1"/>
  <c r="K34" i="74"/>
  <c r="K1130" i="97" s="1"/>
  <c r="H17" i="86"/>
  <c r="H18" i="86" s="1"/>
  <c r="H20" i="86" s="1"/>
  <c r="H24" i="86" s="1"/>
  <c r="K11" i="86" s="1"/>
  <c r="C1148" i="97"/>
  <c r="C57" i="74"/>
  <c r="D1151" i="97"/>
  <c r="H33" i="86"/>
  <c r="D1150" i="97"/>
  <c r="D71" i="74"/>
  <c r="D1167" i="97" s="1"/>
  <c r="F30" i="86"/>
  <c r="E17" i="86"/>
  <c r="E18" i="86" s="1"/>
  <c r="E20" i="86" s="1"/>
  <c r="E24" i="86" s="1"/>
  <c r="K8" i="86" s="1"/>
  <c r="C71" i="74"/>
  <c r="C1167" i="97" s="1"/>
  <c r="C1153" i="97" l="1"/>
  <c r="C64" i="82"/>
  <c r="C65" i="74"/>
  <c r="C70" i="74"/>
  <c r="C1166" i="97" s="1"/>
  <c r="C66" i="74"/>
  <c r="C1162" i="97" s="1"/>
  <c r="K1129" i="97"/>
  <c r="E29" i="86"/>
  <c r="S30" i="74"/>
  <c r="K51" i="82"/>
  <c r="K46" i="82"/>
  <c r="B25" i="82" s="1"/>
  <c r="B1153" i="97"/>
  <c r="B64" i="82"/>
  <c r="B65" i="74"/>
  <c r="B70" i="74"/>
  <c r="B1166" i="97" s="1"/>
  <c r="B66" i="74"/>
  <c r="B1162" i="97" s="1"/>
  <c r="E1151" i="97"/>
  <c r="I33" i="86"/>
  <c r="F56" i="74"/>
  <c r="F1152" i="97" s="1"/>
  <c r="G46" i="74"/>
  <c r="F54" i="74"/>
  <c r="F47" i="74"/>
  <c r="F55" i="74"/>
  <c r="F53" i="74"/>
  <c r="F1149" i="97" s="1"/>
  <c r="F48" i="74"/>
  <c r="F1144" i="97" s="1"/>
  <c r="D52" i="74"/>
  <c r="C1159" i="97"/>
  <c r="C73" i="82"/>
  <c r="D63" i="74"/>
  <c r="E1150" i="97"/>
  <c r="C1168" i="97"/>
  <c r="D72" i="74"/>
  <c r="E1143" i="97"/>
  <c r="E49" i="74"/>
  <c r="E1145" i="97" s="1"/>
  <c r="C1172" i="97"/>
  <c r="D76" i="74"/>
  <c r="E52" i="74" l="1"/>
  <c r="E71" i="74"/>
  <c r="E1167" i="97" s="1"/>
  <c r="E1148" i="97"/>
  <c r="E57" i="74"/>
  <c r="H46" i="74"/>
  <c r="G56" i="74"/>
  <c r="G1152" i="97" s="1"/>
  <c r="G54" i="74"/>
  <c r="G55" i="74"/>
  <c r="G47" i="74"/>
  <c r="G53" i="74"/>
  <c r="G1149" i="97" s="1"/>
  <c r="G48" i="74"/>
  <c r="G1144" i="97" s="1"/>
  <c r="F1151" i="97"/>
  <c r="C53" i="86"/>
  <c r="I72" i="82"/>
  <c r="E72" i="82"/>
  <c r="J52" i="82"/>
  <c r="J54" i="82" s="1"/>
  <c r="F52" i="82"/>
  <c r="F54" i="82" s="1"/>
  <c r="B52" i="82"/>
  <c r="B54" i="82" s="1"/>
  <c r="H72" i="82"/>
  <c r="D72" i="82"/>
  <c r="I52" i="82"/>
  <c r="I54" i="82" s="1"/>
  <c r="E52" i="82"/>
  <c r="E54" i="82" s="1"/>
  <c r="B26" i="82"/>
  <c r="J72" i="82"/>
  <c r="B72" i="82"/>
  <c r="D52" i="82"/>
  <c r="D54" i="82" s="1"/>
  <c r="G72" i="82"/>
  <c r="K52" i="82"/>
  <c r="C52" i="82"/>
  <c r="C54" i="82" s="1"/>
  <c r="F72" i="82"/>
  <c r="H52" i="82"/>
  <c r="H54" i="82" s="1"/>
  <c r="K72" i="82"/>
  <c r="C72" i="82"/>
  <c r="G52" i="82"/>
  <c r="G54" i="82" s="1"/>
  <c r="E37" i="86"/>
  <c r="E38" i="86" s="1"/>
  <c r="E40" i="86" s="1"/>
  <c r="E44" i="86" s="1"/>
  <c r="K15" i="86" s="1"/>
  <c r="C1161" i="97"/>
  <c r="G29" i="86"/>
  <c r="D1172" i="97"/>
  <c r="E76" i="74"/>
  <c r="D1168" i="97"/>
  <c r="E72" i="74"/>
  <c r="I30" i="86" s="1"/>
  <c r="D1148" i="97"/>
  <c r="D57" i="74"/>
  <c r="F1143" i="97"/>
  <c r="F49" i="74"/>
  <c r="F1145" i="97" s="1"/>
  <c r="B1161" i="97"/>
  <c r="S1127" i="97" s="1"/>
  <c r="F29" i="86"/>
  <c r="S31" i="74"/>
  <c r="K54" i="82"/>
  <c r="S1126" i="97"/>
  <c r="S1128" i="97"/>
  <c r="C71" i="82"/>
  <c r="C74" i="82" s="1"/>
  <c r="C66" i="82"/>
  <c r="H30" i="86"/>
  <c r="D1159" i="97"/>
  <c r="D73" i="82"/>
  <c r="E63" i="74"/>
  <c r="F1150" i="97"/>
  <c r="B71" i="82"/>
  <c r="B74" i="82" s="1"/>
  <c r="B66" i="82"/>
  <c r="S32" i="74"/>
  <c r="F71" i="74" l="1"/>
  <c r="F1167" i="97" s="1"/>
  <c r="B75" i="82"/>
  <c r="B76" i="82" s="1"/>
  <c r="F37" i="86"/>
  <c r="F38" i="86" s="1"/>
  <c r="F40" i="86" s="1"/>
  <c r="F44" i="86" s="1"/>
  <c r="K16" i="86" s="1"/>
  <c r="G37" i="86"/>
  <c r="G38" i="86" s="1"/>
  <c r="G40" i="86" s="1"/>
  <c r="G44" i="86" s="1"/>
  <c r="K17" i="86" s="1"/>
  <c r="H55" i="82"/>
  <c r="H56" i="82" s="1"/>
  <c r="B28" i="82"/>
  <c r="C58" i="82"/>
  <c r="D58" i="82" s="1"/>
  <c r="E58" i="82" s="1"/>
  <c r="F58" i="82" s="1"/>
  <c r="G58" i="82" s="1"/>
  <c r="H58" i="82" s="1"/>
  <c r="I58" i="82" s="1"/>
  <c r="J58" i="82" s="1"/>
  <c r="K58" i="82" s="1"/>
  <c r="B78" i="82" s="1"/>
  <c r="C78" i="82" s="1"/>
  <c r="D78" i="82" s="1"/>
  <c r="E78" i="82" s="1"/>
  <c r="F78" i="82" s="1"/>
  <c r="G78" i="82" s="1"/>
  <c r="H78" i="82" s="1"/>
  <c r="I78" i="82" s="1"/>
  <c r="J78" i="82" s="1"/>
  <c r="K78" i="82" s="1"/>
  <c r="B58" i="82"/>
  <c r="B5" i="82"/>
  <c r="B6" i="82" s="1"/>
  <c r="B7" i="82" s="1"/>
  <c r="B9" i="82"/>
  <c r="B10" i="82" s="1"/>
  <c r="B11" i="82" s="1"/>
  <c r="G1143" i="97"/>
  <c r="G49" i="74"/>
  <c r="G1145" i="97" s="1"/>
  <c r="H54" i="74"/>
  <c r="H56" i="74"/>
  <c r="H1152" i="97" s="1"/>
  <c r="I46" i="74"/>
  <c r="H53" i="74"/>
  <c r="H1149" i="97" s="1"/>
  <c r="H47" i="74"/>
  <c r="H55" i="74"/>
  <c r="H48" i="74"/>
  <c r="H1144" i="97" s="1"/>
  <c r="E1159" i="97"/>
  <c r="F63" i="74"/>
  <c r="E73" i="82"/>
  <c r="D1153" i="97"/>
  <c r="D64" i="82"/>
  <c r="D65" i="74"/>
  <c r="D66" i="74"/>
  <c r="D1162" i="97" s="1"/>
  <c r="D70" i="74"/>
  <c r="D1166" i="97" s="1"/>
  <c r="G55" i="82"/>
  <c r="G56" i="82"/>
  <c r="D55" i="82"/>
  <c r="D56" i="82" s="1"/>
  <c r="E55" i="82"/>
  <c r="E56" i="82" s="1"/>
  <c r="B55" i="82"/>
  <c r="B56" i="82" s="1"/>
  <c r="G1151" i="97"/>
  <c r="D53" i="86"/>
  <c r="E1153" i="97"/>
  <c r="E64" i="82"/>
  <c r="E65" i="74"/>
  <c r="E66" i="74"/>
  <c r="E1162" i="97" s="1"/>
  <c r="E70" i="74"/>
  <c r="E1166" i="97" s="1"/>
  <c r="K55" i="82"/>
  <c r="K56" i="82" s="1"/>
  <c r="E1172" i="97"/>
  <c r="F76" i="74"/>
  <c r="C55" i="82"/>
  <c r="C56" i="82" s="1"/>
  <c r="I55" i="82"/>
  <c r="I56" i="82" s="1"/>
  <c r="F55" i="82"/>
  <c r="F56" i="82" s="1"/>
  <c r="G1150" i="97"/>
  <c r="G71" i="74"/>
  <c r="G1167" i="97" s="1"/>
  <c r="C75" i="82"/>
  <c r="C76" i="82"/>
  <c r="F52" i="74"/>
  <c r="E1168" i="97"/>
  <c r="F72" i="74"/>
  <c r="J55" i="82"/>
  <c r="J56" i="82" s="1"/>
  <c r="F1172" i="97" l="1"/>
  <c r="G76" i="74"/>
  <c r="G1172" i="97" s="1"/>
  <c r="H1151" i="97"/>
  <c r="E53" i="86"/>
  <c r="F1148" i="97"/>
  <c r="F57" i="74"/>
  <c r="D1161" i="97"/>
  <c r="S1129" i="97" s="1"/>
  <c r="H29" i="86"/>
  <c r="S34" i="74"/>
  <c r="S33" i="74"/>
  <c r="F1159" i="97"/>
  <c r="F73" i="82"/>
  <c r="G63" i="74"/>
  <c r="H1143" i="97"/>
  <c r="H49" i="74"/>
  <c r="H1145" i="97" s="1"/>
  <c r="H1150" i="97"/>
  <c r="F1168" i="97"/>
  <c r="G72" i="74"/>
  <c r="E1161" i="97"/>
  <c r="S1130" i="97" s="1"/>
  <c r="I29" i="86"/>
  <c r="D71" i="82"/>
  <c r="D74" i="82" s="1"/>
  <c r="D66" i="82"/>
  <c r="B29" i="82"/>
  <c r="G21" i="82"/>
  <c r="C50" i="86"/>
  <c r="E66" i="82"/>
  <c r="E71" i="82"/>
  <c r="E74" i="82" s="1"/>
  <c r="I56" i="74"/>
  <c r="I1152" i="97" s="1"/>
  <c r="J46" i="74"/>
  <c r="I54" i="74"/>
  <c r="I55" i="74"/>
  <c r="I53" i="74"/>
  <c r="I1149" i="97" s="1"/>
  <c r="I47" i="74"/>
  <c r="I48" i="74"/>
  <c r="I1144" i="97" s="1"/>
  <c r="G52" i="74"/>
  <c r="H71" i="74" l="1"/>
  <c r="H1167" i="97" s="1"/>
  <c r="G1148" i="97"/>
  <c r="G57" i="74"/>
  <c r="I1151" i="97"/>
  <c r="F53" i="86"/>
  <c r="E75" i="82"/>
  <c r="E76" i="82" s="1"/>
  <c r="H37" i="86"/>
  <c r="H38" i="86" s="1"/>
  <c r="H40" i="86" s="1"/>
  <c r="H44" i="86" s="1"/>
  <c r="K18" i="86" s="1"/>
  <c r="I1150" i="97"/>
  <c r="G1168" i="97"/>
  <c r="H72" i="74"/>
  <c r="E50" i="86" s="1"/>
  <c r="E57" i="86" s="1"/>
  <c r="E58" i="86" s="1"/>
  <c r="E60" i="86" s="1"/>
  <c r="E64" i="86" s="1"/>
  <c r="K22" i="86" s="1"/>
  <c r="G1159" i="97"/>
  <c r="G73" i="82"/>
  <c r="H63" i="74"/>
  <c r="I1143" i="97"/>
  <c r="I49" i="74"/>
  <c r="I1145" i="97" s="1"/>
  <c r="J56" i="74"/>
  <c r="J1152" i="97" s="1"/>
  <c r="J54" i="74"/>
  <c r="K46" i="74"/>
  <c r="J53" i="74"/>
  <c r="J1149" i="97" s="1"/>
  <c r="J47" i="74"/>
  <c r="J55" i="74"/>
  <c r="J48" i="74"/>
  <c r="J1144" i="97" s="1"/>
  <c r="D75" i="82"/>
  <c r="D76" i="82" s="1"/>
  <c r="D50" i="86"/>
  <c r="D57" i="86" s="1"/>
  <c r="D58" i="86" s="1"/>
  <c r="D60" i="86" s="1"/>
  <c r="D64" i="86" s="1"/>
  <c r="K21" i="86" s="1"/>
  <c r="F1153" i="97"/>
  <c r="F64" i="82"/>
  <c r="F65" i="74"/>
  <c r="F66" i="74"/>
  <c r="F1162" i="97" s="1"/>
  <c r="F70" i="74"/>
  <c r="F1166" i="97" s="1"/>
  <c r="I37" i="86"/>
  <c r="I38" i="86" s="1"/>
  <c r="I40" i="86" s="1"/>
  <c r="I44" i="86" s="1"/>
  <c r="K19" i="86" s="1"/>
  <c r="H52" i="74"/>
  <c r="J1143" i="97" l="1"/>
  <c r="J49" i="74"/>
  <c r="J1145" i="97" s="1"/>
  <c r="J52" i="74"/>
  <c r="H1159" i="97"/>
  <c r="H73" i="82"/>
  <c r="I63" i="74"/>
  <c r="F1161" i="97"/>
  <c r="S1131" i="97" s="1"/>
  <c r="C49" i="86"/>
  <c r="S35" i="74"/>
  <c r="F47" i="68" s="1"/>
  <c r="F71" i="82"/>
  <c r="F74" i="82" s="1"/>
  <c r="F66" i="82"/>
  <c r="H1148" i="97"/>
  <c r="H57" i="74"/>
  <c r="K56" i="74"/>
  <c r="K1152" i="97" s="1"/>
  <c r="K54" i="74"/>
  <c r="B78" i="74"/>
  <c r="K47" i="74"/>
  <c r="K55" i="74"/>
  <c r="K53" i="74"/>
  <c r="K1149" i="97" s="1"/>
  <c r="K48" i="74"/>
  <c r="K1144" i="97" s="1"/>
  <c r="I52" i="74"/>
  <c r="I71" i="74"/>
  <c r="I1167" i="97" s="1"/>
  <c r="G1153" i="97"/>
  <c r="G64" i="82"/>
  <c r="G65" i="74"/>
  <c r="G1161" i="97" s="1"/>
  <c r="G70" i="74"/>
  <c r="G1166" i="97" s="1"/>
  <c r="G66" i="74"/>
  <c r="G1162" i="97" s="1"/>
  <c r="J1151" i="97"/>
  <c r="G53" i="86"/>
  <c r="J1150" i="97"/>
  <c r="J71" i="74"/>
  <c r="J1167" i="97" s="1"/>
  <c r="H1168" i="97"/>
  <c r="I72" i="74"/>
  <c r="S1132" i="97" l="1"/>
  <c r="S36" i="74"/>
  <c r="K1150" i="97"/>
  <c r="C57" i="86"/>
  <c r="C58" i="86" s="1"/>
  <c r="C60" i="86" s="1"/>
  <c r="C64" i="86" s="1"/>
  <c r="K20" i="86" s="1"/>
  <c r="I1168" i="97"/>
  <c r="J72" i="74"/>
  <c r="K1151" i="97"/>
  <c r="H53" i="86"/>
  <c r="F75" i="82"/>
  <c r="F76" i="82"/>
  <c r="F481" i="97"/>
  <c r="L47" i="68"/>
  <c r="J1148" i="97"/>
  <c r="J57" i="74"/>
  <c r="F50" i="86"/>
  <c r="F57" i="86" s="1"/>
  <c r="F58" i="86" s="1"/>
  <c r="F60" i="86" s="1"/>
  <c r="F64" i="86" s="1"/>
  <c r="K23" i="86" s="1"/>
  <c r="I1148" i="97"/>
  <c r="I57" i="74"/>
  <c r="K1143" i="97"/>
  <c r="K49" i="74"/>
  <c r="K1145" i="97" s="1"/>
  <c r="H1153" i="97"/>
  <c r="H65" i="74"/>
  <c r="H64" i="82"/>
  <c r="H70" i="74"/>
  <c r="H1166" i="97" s="1"/>
  <c r="H66" i="74"/>
  <c r="H1162" i="97" s="1"/>
  <c r="I1159" i="97"/>
  <c r="J63" i="74"/>
  <c r="I73" i="82"/>
  <c r="G71" i="82"/>
  <c r="G74" i="82" s="1"/>
  <c r="G66" i="82"/>
  <c r="C78" i="74"/>
  <c r="B88" i="74"/>
  <c r="B1184" i="97" s="1"/>
  <c r="B86" i="74"/>
  <c r="B79" i="74"/>
  <c r="B87" i="74"/>
  <c r="B1183" i="97" s="1"/>
  <c r="B85" i="74"/>
  <c r="B1181" i="97" s="1"/>
  <c r="B80" i="74"/>
  <c r="B1176" i="97" s="1"/>
  <c r="S37" i="74"/>
  <c r="B1175" i="97" l="1"/>
  <c r="B81" i="74"/>
  <c r="B1177" i="97" s="1"/>
  <c r="H66" i="82"/>
  <c r="H71" i="82"/>
  <c r="H74" i="82" s="1"/>
  <c r="G75" i="82"/>
  <c r="G76" i="82" s="1"/>
  <c r="H1161" i="97"/>
  <c r="S1133" i="97" s="1"/>
  <c r="J1153" i="97"/>
  <c r="J64" i="82"/>
  <c r="J65" i="74"/>
  <c r="J70" i="74"/>
  <c r="J1166" i="97" s="1"/>
  <c r="J66" i="74"/>
  <c r="J1162" i="97" s="1"/>
  <c r="J1168" i="97"/>
  <c r="K72" i="74"/>
  <c r="H50" i="86" s="1"/>
  <c r="H57" i="86" s="1"/>
  <c r="H58" i="86" s="1"/>
  <c r="H60" i="86" s="1"/>
  <c r="H64" i="86" s="1"/>
  <c r="K25" i="86" s="1"/>
  <c r="I1153" i="97"/>
  <c r="I65" i="74"/>
  <c r="I1161" i="97" s="1"/>
  <c r="I64" i="82"/>
  <c r="I66" i="74"/>
  <c r="I1162" i="97" s="1"/>
  <c r="I70" i="74"/>
  <c r="I1166" i="97" s="1"/>
  <c r="G50" i="86"/>
  <c r="G57" i="86" s="1"/>
  <c r="G58" i="86" s="1"/>
  <c r="G60" i="86" s="1"/>
  <c r="G64" i="86" s="1"/>
  <c r="K24" i="86" s="1"/>
  <c r="K71" i="74"/>
  <c r="K1167" i="97" s="1"/>
  <c r="B1182" i="97"/>
  <c r="B102" i="74"/>
  <c r="B1198" i="97" s="1"/>
  <c r="C86" i="74"/>
  <c r="C88" i="74"/>
  <c r="C1184" i="97" s="1"/>
  <c r="D78" i="74"/>
  <c r="C87" i="74"/>
  <c r="C1183" i="97" s="1"/>
  <c r="C85" i="74"/>
  <c r="C1181" i="97" s="1"/>
  <c r="C79" i="74"/>
  <c r="C80" i="74"/>
  <c r="C1176" i="97" s="1"/>
  <c r="J1159" i="97"/>
  <c r="J73" i="82"/>
  <c r="K63" i="74"/>
  <c r="K52" i="74"/>
  <c r="L481" i="97"/>
  <c r="F85" i="92"/>
  <c r="F89" i="92" s="1"/>
  <c r="F105" i="92" s="1"/>
  <c r="B84" i="74" l="1"/>
  <c r="S1134" i="97"/>
  <c r="C1175" i="97"/>
  <c r="C84" i="74"/>
  <c r="C81" i="74"/>
  <c r="C1177" i="97" s="1"/>
  <c r="I71" i="82"/>
  <c r="I74" i="82" s="1"/>
  <c r="I66" i="82"/>
  <c r="J1161" i="97"/>
  <c r="S1135" i="97" s="1"/>
  <c r="S39" i="74"/>
  <c r="C1182" i="97"/>
  <c r="C102" i="74"/>
  <c r="C1198" i="97" s="1"/>
  <c r="J71" i="82"/>
  <c r="J74" i="82" s="1"/>
  <c r="J66" i="82"/>
  <c r="B1180" i="97"/>
  <c r="B89" i="74"/>
  <c r="K1159" i="97"/>
  <c r="K73" i="82"/>
  <c r="B95" i="74"/>
  <c r="K1148" i="97"/>
  <c r="K57" i="74"/>
  <c r="D88" i="74"/>
  <c r="D1184" i="97" s="1"/>
  <c r="E78" i="74"/>
  <c r="D86" i="74"/>
  <c r="D85" i="74"/>
  <c r="D1181" i="97" s="1"/>
  <c r="D79" i="74"/>
  <c r="D87" i="74"/>
  <c r="D1183" i="97" s="1"/>
  <c r="D80" i="74"/>
  <c r="D1176" i="97" s="1"/>
  <c r="K1168" i="97"/>
  <c r="O8" i="86"/>
  <c r="O14" i="86" s="1"/>
  <c r="O33" i="86" s="1"/>
  <c r="H63" i="86" s="1"/>
  <c r="L100" i="85"/>
  <c r="L70" i="85"/>
  <c r="B103" i="74"/>
  <c r="S38" i="74"/>
  <c r="H75" i="82"/>
  <c r="H76" i="82" s="1"/>
  <c r="E88" i="74" l="1"/>
  <c r="E1184" i="97" s="1"/>
  <c r="F78" i="74"/>
  <c r="E86" i="74"/>
  <c r="E85" i="74"/>
  <c r="E1181" i="97" s="1"/>
  <c r="E79" i="74"/>
  <c r="E87" i="74"/>
  <c r="E1183" i="97" s="1"/>
  <c r="E80" i="74"/>
  <c r="E1176" i="97" s="1"/>
  <c r="B1191" i="97"/>
  <c r="C95" i="74"/>
  <c r="I75" i="82"/>
  <c r="I76" i="82" s="1"/>
  <c r="D1175" i="97"/>
  <c r="D84" i="74"/>
  <c r="D81" i="74"/>
  <c r="D1177" i="97" s="1"/>
  <c r="B1199" i="97"/>
  <c r="C103" i="74"/>
  <c r="K1153" i="97"/>
  <c r="K64" i="82"/>
  <c r="K65" i="74"/>
  <c r="K70" i="74"/>
  <c r="K1166" i="97" s="1"/>
  <c r="K66" i="74"/>
  <c r="K1162" i="97" s="1"/>
  <c r="J75" i="82"/>
  <c r="J76" i="82"/>
  <c r="C1180" i="97"/>
  <c r="C89" i="74"/>
  <c r="C86" i="90"/>
  <c r="F60" i="89"/>
  <c r="D1182" i="97"/>
  <c r="D102" i="74"/>
  <c r="D1198" i="97" s="1"/>
  <c r="B1185" i="97"/>
  <c r="B96" i="74"/>
  <c r="B1192" i="97" s="1"/>
  <c r="B101" i="74"/>
  <c r="B1197" i="97" s="1"/>
  <c r="B97" i="74"/>
  <c r="B1193" i="97" s="1"/>
  <c r="C1199" i="97" l="1"/>
  <c r="D103" i="74"/>
  <c r="K1161" i="97"/>
  <c r="S1136" i="97" s="1"/>
  <c r="S40" i="74"/>
  <c r="E1182" i="97"/>
  <c r="K71" i="82"/>
  <c r="K74" i="82" s="1"/>
  <c r="K66" i="82"/>
  <c r="G78" i="74"/>
  <c r="F88" i="74"/>
  <c r="F1184" i="97" s="1"/>
  <c r="F86" i="74"/>
  <c r="F87" i="74"/>
  <c r="F1183" i="97" s="1"/>
  <c r="F85" i="74"/>
  <c r="F1181" i="97" s="1"/>
  <c r="F79" i="74"/>
  <c r="F80" i="74"/>
  <c r="F1176" i="97" s="1"/>
  <c r="C1185" i="97"/>
  <c r="C96" i="74"/>
  <c r="C1192" i="97" s="1"/>
  <c r="C101" i="74"/>
  <c r="C1197" i="97" s="1"/>
  <c r="C97" i="74"/>
  <c r="C1193" i="97" s="1"/>
  <c r="D1180" i="97"/>
  <c r="D89" i="74"/>
  <c r="C1191" i="97"/>
  <c r="D95" i="74"/>
  <c r="E1175" i="97"/>
  <c r="E81" i="74"/>
  <c r="E1177" i="97" s="1"/>
  <c r="E84" i="74" l="1"/>
  <c r="D1191" i="97"/>
  <c r="E95" i="74"/>
  <c r="F1182" i="97"/>
  <c r="K75" i="82"/>
  <c r="K76" i="82"/>
  <c r="E1180" i="97"/>
  <c r="E89" i="74"/>
  <c r="F1175" i="97"/>
  <c r="F81" i="74"/>
  <c r="F1177" i="97" s="1"/>
  <c r="E102" i="74"/>
  <c r="E1198" i="97" s="1"/>
  <c r="D1199" i="97"/>
  <c r="E103" i="74"/>
  <c r="D1185" i="97"/>
  <c r="D96" i="74"/>
  <c r="D1192" i="97" s="1"/>
  <c r="D101" i="74"/>
  <c r="D1197" i="97" s="1"/>
  <c r="D97" i="74"/>
  <c r="D1193" i="97" s="1"/>
  <c r="G86" i="74"/>
  <c r="H78" i="74"/>
  <c r="G88" i="74"/>
  <c r="G1184" i="97" s="1"/>
  <c r="G87" i="74"/>
  <c r="G1183" i="97" s="1"/>
  <c r="G85" i="74"/>
  <c r="G1181" i="97" s="1"/>
  <c r="G79" i="74"/>
  <c r="G80" i="74"/>
  <c r="G1176" i="97" s="1"/>
  <c r="F102" i="74" l="1"/>
  <c r="F1198" i="97" s="1"/>
  <c r="G1175" i="97"/>
  <c r="G81" i="74"/>
  <c r="G1177" i="97" s="1"/>
  <c r="H88" i="74"/>
  <c r="H1184" i="97" s="1"/>
  <c r="I78" i="74"/>
  <c r="H86" i="74"/>
  <c r="H85" i="74"/>
  <c r="H1181" i="97" s="1"/>
  <c r="H87" i="74"/>
  <c r="H1183" i="97" s="1"/>
  <c r="H79" i="74"/>
  <c r="H80" i="74"/>
  <c r="H1176" i="97" s="1"/>
  <c r="E1185" i="97"/>
  <c r="E96" i="74"/>
  <c r="E1192" i="97" s="1"/>
  <c r="E101" i="74"/>
  <c r="E1197" i="97" s="1"/>
  <c r="E97" i="74"/>
  <c r="E1193" i="97" s="1"/>
  <c r="G1182" i="97"/>
  <c r="G102" i="74"/>
  <c r="G1198" i="97" s="1"/>
  <c r="F84" i="74"/>
  <c r="E1199" i="97"/>
  <c r="F103" i="74"/>
  <c r="E1191" i="97"/>
  <c r="F95" i="74"/>
  <c r="F1199" i="97" l="1"/>
  <c r="G103" i="74"/>
  <c r="G84" i="74"/>
  <c r="H1182" i="97"/>
  <c r="F1191" i="97"/>
  <c r="G95" i="74"/>
  <c r="F1180" i="97"/>
  <c r="F89" i="74"/>
  <c r="H1175" i="97"/>
  <c r="H81" i="74"/>
  <c r="H1177" i="97" s="1"/>
  <c r="H84" i="74"/>
  <c r="I88" i="74"/>
  <c r="I1184" i="97" s="1"/>
  <c r="J78" i="74"/>
  <c r="I86" i="74"/>
  <c r="I87" i="74"/>
  <c r="I1183" i="97" s="1"/>
  <c r="I85" i="74"/>
  <c r="I1181" i="97" s="1"/>
  <c r="I79" i="74"/>
  <c r="I80" i="74"/>
  <c r="I1176" i="97" s="1"/>
  <c r="H1180" i="97" l="1"/>
  <c r="H89" i="74"/>
  <c r="I1182" i="97"/>
  <c r="I102" i="74"/>
  <c r="I1198" i="97" s="1"/>
  <c r="G1191" i="97"/>
  <c r="H95" i="74"/>
  <c r="G1180" i="97"/>
  <c r="G89" i="74"/>
  <c r="I1175" i="97"/>
  <c r="I81" i="74"/>
  <c r="I1177" i="97" s="1"/>
  <c r="K78" i="74"/>
  <c r="J88" i="74"/>
  <c r="J1184" i="97" s="1"/>
  <c r="J86" i="74"/>
  <c r="J79" i="74"/>
  <c r="J87" i="74"/>
  <c r="J1183" i="97" s="1"/>
  <c r="J85" i="74"/>
  <c r="J1181" i="97" s="1"/>
  <c r="J80" i="74"/>
  <c r="J1176" i="97" s="1"/>
  <c r="G1199" i="97"/>
  <c r="H103" i="74"/>
  <c r="F1185" i="97"/>
  <c r="F96" i="74"/>
  <c r="F1192" i="97" s="1"/>
  <c r="F101" i="74"/>
  <c r="F1197" i="97" s="1"/>
  <c r="F97" i="74"/>
  <c r="F1193" i="97" s="1"/>
  <c r="H102" i="74"/>
  <c r="H1198" i="97" s="1"/>
  <c r="H1199" i="97" l="1"/>
  <c r="I103" i="74"/>
  <c r="K86" i="74"/>
  <c r="K88" i="74"/>
  <c r="K1184" i="97" s="1"/>
  <c r="B108" i="74"/>
  <c r="K85" i="74"/>
  <c r="K1181" i="97" s="1"/>
  <c r="K79" i="74"/>
  <c r="K87" i="74"/>
  <c r="K1183" i="97" s="1"/>
  <c r="K80" i="74"/>
  <c r="K1176" i="97" s="1"/>
  <c r="G1185" i="97"/>
  <c r="G96" i="74"/>
  <c r="G1192" i="97" s="1"/>
  <c r="G97" i="74"/>
  <c r="G1193" i="97" s="1"/>
  <c r="G101" i="74"/>
  <c r="G1197" i="97" s="1"/>
  <c r="J1175" i="97"/>
  <c r="J81" i="74"/>
  <c r="J1177" i="97" s="1"/>
  <c r="I84" i="74"/>
  <c r="J1182" i="97"/>
  <c r="H1191" i="97"/>
  <c r="I95" i="74"/>
  <c r="H1185" i="97"/>
  <c r="H96" i="74"/>
  <c r="H1192" i="97" s="1"/>
  <c r="H101" i="74"/>
  <c r="H1197" i="97" s="1"/>
  <c r="H97" i="74"/>
  <c r="H1193" i="97" s="1"/>
  <c r="J102" i="74" l="1"/>
  <c r="J1198" i="97" s="1"/>
  <c r="J84" i="74"/>
  <c r="K1175" i="97"/>
  <c r="K81" i="74"/>
  <c r="K1177" i="97" s="1"/>
  <c r="K1182" i="97"/>
  <c r="I1199" i="97"/>
  <c r="J103" i="74"/>
  <c r="I1191" i="97"/>
  <c r="J95" i="74"/>
  <c r="I1180" i="97"/>
  <c r="I89" i="74"/>
  <c r="B116" i="74"/>
  <c r="C108" i="74"/>
  <c r="B118" i="74"/>
  <c r="B1214" i="97" s="1"/>
  <c r="B109" i="74"/>
  <c r="B115" i="74"/>
  <c r="B1211" i="97" s="1"/>
  <c r="B117" i="74"/>
  <c r="B1213" i="97" s="1"/>
  <c r="B110" i="74"/>
  <c r="B1206" i="97" s="1"/>
  <c r="B1205" i="97" l="1"/>
  <c r="B111" i="74"/>
  <c r="B1207" i="97" s="1"/>
  <c r="B114" i="74"/>
  <c r="K84" i="74"/>
  <c r="D108" i="74"/>
  <c r="C118" i="74"/>
  <c r="C1214" i="97" s="1"/>
  <c r="C116" i="74"/>
  <c r="C115" i="74"/>
  <c r="C1211" i="97" s="1"/>
  <c r="C109" i="74"/>
  <c r="C117" i="74"/>
  <c r="C1213" i="97" s="1"/>
  <c r="C110" i="74"/>
  <c r="C1206" i="97" s="1"/>
  <c r="J1191" i="97"/>
  <c r="K95" i="74"/>
  <c r="K102" i="74"/>
  <c r="K1198" i="97" s="1"/>
  <c r="B1212" i="97"/>
  <c r="B132" i="74"/>
  <c r="B1228" i="97" s="1"/>
  <c r="J1180" i="97"/>
  <c r="J89" i="74"/>
  <c r="I1185" i="97"/>
  <c r="I96" i="74"/>
  <c r="I1192" i="97" s="1"/>
  <c r="I97" i="74"/>
  <c r="I1193" i="97" s="1"/>
  <c r="I101" i="74"/>
  <c r="I1197" i="97" s="1"/>
  <c r="J1199" i="97"/>
  <c r="K103" i="74"/>
  <c r="K1180" i="97" l="1"/>
  <c r="K89" i="74"/>
  <c r="C1212" i="97"/>
  <c r="C132" i="74"/>
  <c r="C1228" i="97" s="1"/>
  <c r="B1210" i="97"/>
  <c r="B119" i="74"/>
  <c r="K1199" i="97"/>
  <c r="B133" i="74"/>
  <c r="J1185" i="97"/>
  <c r="J96" i="74"/>
  <c r="J1192" i="97" s="1"/>
  <c r="J97" i="74"/>
  <c r="J1193" i="97" s="1"/>
  <c r="J101" i="74"/>
  <c r="J1197" i="97" s="1"/>
  <c r="K1191" i="97"/>
  <c r="B125" i="74"/>
  <c r="C1205" i="97"/>
  <c r="C114" i="74"/>
  <c r="C111" i="74"/>
  <c r="C1207" i="97" s="1"/>
  <c r="E108" i="74"/>
  <c r="D118" i="74"/>
  <c r="D1214" i="97" s="1"/>
  <c r="D116" i="74"/>
  <c r="D117" i="74"/>
  <c r="D1213" i="97" s="1"/>
  <c r="D115" i="74"/>
  <c r="D1211" i="97" s="1"/>
  <c r="D109" i="74"/>
  <c r="D110" i="74"/>
  <c r="D1206" i="97" s="1"/>
  <c r="B1229" i="97" l="1"/>
  <c r="C133" i="74"/>
  <c r="D1212" i="97"/>
  <c r="D1205" i="97"/>
  <c r="D111" i="74"/>
  <c r="D1207" i="97" s="1"/>
  <c r="D114" i="74"/>
  <c r="C1210" i="97"/>
  <c r="C119" i="74"/>
  <c r="E118" i="74"/>
  <c r="E1214" i="97" s="1"/>
  <c r="E116" i="74"/>
  <c r="F108" i="74"/>
  <c r="E117" i="74"/>
  <c r="E1213" i="97" s="1"/>
  <c r="E115" i="74"/>
  <c r="E1211" i="97" s="1"/>
  <c r="E109" i="74"/>
  <c r="E110" i="74"/>
  <c r="E1206" i="97" s="1"/>
  <c r="B1221" i="97"/>
  <c r="C125" i="74"/>
  <c r="B1215" i="97"/>
  <c r="B126" i="74"/>
  <c r="B1222" i="97" s="1"/>
  <c r="B131" i="74"/>
  <c r="B1227" i="97" s="1"/>
  <c r="B127" i="74"/>
  <c r="B1223" i="97" s="1"/>
  <c r="K1185" i="97"/>
  <c r="K96" i="74"/>
  <c r="K1192" i="97" s="1"/>
  <c r="K101" i="74"/>
  <c r="K1197" i="97" s="1"/>
  <c r="K97" i="74"/>
  <c r="K1193" i="97" s="1"/>
  <c r="F118" i="74" l="1"/>
  <c r="F1214" i="97" s="1"/>
  <c r="F116" i="74"/>
  <c r="F115" i="74"/>
  <c r="F1211" i="97" s="1"/>
  <c r="F109" i="74"/>
  <c r="F117" i="74"/>
  <c r="F1213" i="97" s="1"/>
  <c r="F110" i="74"/>
  <c r="F1206" i="97" s="1"/>
  <c r="D132" i="74"/>
  <c r="D1228" i="97" s="1"/>
  <c r="E1212" i="97"/>
  <c r="D1210" i="97"/>
  <c r="D119" i="74"/>
  <c r="E1205" i="97"/>
  <c r="E111" i="74"/>
  <c r="E1207" i="97" s="1"/>
  <c r="C1221" i="97"/>
  <c r="D125" i="74"/>
  <c r="C1229" i="97"/>
  <c r="D133" i="74"/>
  <c r="C1215" i="97"/>
  <c r="C126" i="74"/>
  <c r="C1222" i="97" s="1"/>
  <c r="C127" i="74"/>
  <c r="C1223" i="97" s="1"/>
  <c r="C131" i="74"/>
  <c r="C1227" i="97" s="1"/>
  <c r="E114" i="74" l="1"/>
  <c r="D1221" i="97"/>
  <c r="E125" i="74"/>
  <c r="F1205" i="97"/>
  <c r="F111" i="74"/>
  <c r="F1207" i="97" s="1"/>
  <c r="D1229" i="97"/>
  <c r="E133" i="74"/>
  <c r="D1215" i="97"/>
  <c r="D126" i="74"/>
  <c r="D1222" i="97" s="1"/>
  <c r="D127" i="74"/>
  <c r="D1223" i="97" s="1"/>
  <c r="D131" i="74"/>
  <c r="D1227" i="97" s="1"/>
  <c r="E1210" i="97"/>
  <c r="E119" i="74"/>
  <c r="F1212" i="97"/>
  <c r="F132" i="74"/>
  <c r="F1228" i="97" s="1"/>
  <c r="E132" i="74"/>
  <c r="E1228" i="97" s="1"/>
  <c r="E1229" i="97" l="1"/>
  <c r="F133" i="74"/>
  <c r="F1229" i="97" s="1"/>
  <c r="E1221" i="97"/>
  <c r="F125" i="74"/>
  <c r="F1221" i="97" s="1"/>
  <c r="E1215" i="97"/>
  <c r="E126" i="74"/>
  <c r="E1222" i="97" s="1"/>
  <c r="E127" i="74"/>
  <c r="E1223" i="97" s="1"/>
  <c r="E131" i="74"/>
  <c r="E1227" i="97" s="1"/>
  <c r="F114" i="74"/>
  <c r="F1210" i="97" l="1"/>
  <c r="F119" i="74"/>
  <c r="F1215" i="97" l="1"/>
  <c r="F126" i="74"/>
  <c r="F1222" i="97" s="1"/>
  <c r="F131" i="74"/>
  <c r="F1227" i="97" s="1"/>
  <c r="F127" i="74"/>
  <c r="F1223"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<sst xmlns="http://schemas.openxmlformats.org/spreadsheetml/2006/main" count="19879" uniqueCount="7157">
  <si>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</si>
  <si>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</si>
  <si>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</si>
  <si>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</si>
  <si>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</si>
  <si>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</si>
  <si>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</si>
  <si>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</si>
  <si>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</si>
  <si>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</si>
  <si>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</si>
  <si>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</si>
  <si>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</si>
  <si>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</si>
  <si>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</si>
  <si>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</si>
  <si>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</si>
  <si>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</si>
  <si>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</si>
  <si>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</si>
  <si>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</si>
  <si>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</si>
  <si>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</si>
  <si>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</si>
  <si>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</si>
  <si>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</si>
  <si>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</si>
  <si>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</si>
  <si>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</si>
  <si>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</si>
  <si>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</si>
  <si>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</si>
  <si>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</si>
  <si>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</si>
  <si>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</si>
  <si>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</si>
  <si>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</si>
  <si>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</si>
  <si>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</si>
  <si>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</si>
  <si>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</si>
  <si>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</si>
  <si>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</si>
  <si>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</si>
  <si>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</si>
  <si>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</si>
  <si>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</si>
  <si>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</si>
  <si>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</si>
  <si>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</si>
  <si>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</si>
  <si>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</si>
  <si>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</si>
  <si>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</si>
  <si>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</si>
  <si>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</si>
  <si>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</si>
  <si>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</si>
  <si>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</si>
  <si>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</si>
  <si>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</si>
  <si>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</si>
  <si>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</si>
  <si>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</si>
  <si>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</si>
  <si>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</si>
  <si>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</si>
  <si>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</si>
  <si>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</si>
  <si>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</si>
  <si>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</si>
  <si>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</si>
  <si>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</si>
  <si>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</si>
  <si>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</si>
  <si>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</si>
  <si>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</si>
  <si>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</si>
  <si>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</si>
  <si>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</si>
  <si>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</si>
  <si>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</si>
  <si>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</si>
  <si>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</si>
  <si>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</si>
  <si>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</si>
  <si>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</si>
  <si>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</si>
  <si>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</si>
  <si>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</si>
  <si>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</si>
  <si>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</si>
  <si>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</si>
  <si>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</si>
  <si>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</si>
  <si>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</si>
  <si>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</si>
  <si>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</si>
  <si>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</si>
  <si>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</si>
  <si>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</si>
  <si>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</si>
  <si>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</si>
  <si>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</si>
  <si>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</si>
  <si>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</si>
  <si>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</si>
  <si>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</si>
  <si>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</si>
  <si>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</si>
  <si>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</si>
  <si>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</si>
  <si>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</si>
  <si>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</si>
  <si>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</si>
  <si>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</si>
  <si>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</si>
  <si>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</si>
  <si>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</si>
  <si>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</si>
  <si>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</si>
  <si>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</si>
  <si>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</si>
  <si>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</si>
  <si>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</si>
  <si>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</si>
  <si>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</si>
  <si>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</si>
  <si>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</si>
  <si>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</si>
  <si>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</si>
  <si>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</si>
  <si>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</si>
  <si>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</si>
  <si>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</si>
  <si>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</si>
  <si>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</si>
  <si>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</si>
  <si>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</si>
  <si>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</si>
  <si>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</si>
  <si>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</si>
  <si>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</si>
  <si>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</si>
  <si>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</si>
  <si>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</si>
  <si>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</si>
  <si>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</si>
  <si>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</si>
  <si>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</si>
  <si>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</si>
  <si>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</si>
  <si>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</si>
  <si>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</si>
  <si>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</si>
  <si>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</si>
  <si>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</si>
  <si>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</si>
  <si>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</si>
  <si>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</si>
  <si>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</si>
  <si>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</si>
  <si>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</si>
  <si>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</si>
  <si>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</si>
  <si>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</si>
  <si>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</si>
  <si>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</si>
  <si>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</si>
  <si>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</si>
  <si>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</si>
  <si>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</si>
  <si>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</si>
  <si>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</si>
  <si>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</si>
  <si>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</si>
  <si>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</si>
  <si>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</si>
  <si>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</si>
  <si>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</si>
  <si>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</si>
  <si>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</si>
  <si>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</si>
  <si>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</si>
  <si>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</si>
  <si>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</si>
  <si>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</si>
  <si>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</si>
  <si>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</si>
  <si>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</si>
  <si>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</si>
  <si>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</si>
  <si>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</si>
  <si>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</si>
  <si>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</si>
  <si>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</si>
  <si>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</si>
  <si>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</si>
  <si>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</si>
  <si>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</si>
  <si>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</si>
  <si>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</si>
  <si>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</si>
  <si>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</si>
  <si>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</si>
  <si>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</si>
  <si>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</si>
  <si>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</si>
  <si>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</si>
  <si>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</si>
  <si>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</si>
  <si>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</si>
  <si>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</si>
  <si>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</si>
  <si>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</si>
  <si>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</si>
  <si>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</si>
  <si>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</si>
  <si>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</si>
  <si>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</si>
  <si>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</si>
  <si>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</si>
  <si>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</si>
  <si>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</si>
  <si>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</si>
  <si>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</si>
  <si>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</si>
  <si>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</si>
  <si>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</si>
  <si>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</si>
  <si>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</si>
  <si>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</si>
  <si>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</si>
  <si>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</si>
  <si>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</si>
  <si>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</si>
  <si>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</si>
  <si>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</si>
  <si>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</si>
  <si>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</si>
  <si>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</si>
  <si>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</si>
  <si>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</si>
  <si>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</si>
  <si>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</si>
  <si>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</si>
  <si>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</si>
  <si>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</si>
  <si>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</si>
  <si>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</si>
  <si>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</si>
  <si>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</si>
  <si>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</si>
  <si>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</si>
  <si>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</si>
  <si>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</si>
  <si>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</si>
  <si>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</si>
  <si>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</si>
  <si>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</si>
  <si>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</si>
  <si>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</si>
  <si>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</si>
  <si>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</si>
  <si>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</si>
  <si>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</si>
  <si>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</si>
  <si>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</si>
  <si>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</si>
  <si>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</si>
  <si>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</si>
  <si>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</si>
  <si>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</si>
  <si>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</si>
  <si>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</si>
  <si>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</si>
  <si>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</si>
  <si>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</si>
  <si>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</si>
  <si>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</si>
  <si>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</si>
  <si>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</si>
  <si>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</si>
  <si>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</si>
  <si>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</si>
  <si>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</si>
  <si>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</si>
  <si>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</si>
  <si>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</si>
  <si>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</si>
  <si>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</si>
  <si>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</si>
  <si>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</si>
  <si>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</si>
  <si>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</si>
  <si>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</si>
  <si>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</si>
  <si>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</si>
  <si>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</si>
  <si>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</si>
  <si>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</si>
  <si>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</si>
  <si>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</si>
  <si>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</si>
  <si>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</si>
  <si>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</si>
  <si>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</si>
  <si>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</si>
  <si>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</si>
  <si>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</si>
  <si>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</si>
  <si>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</si>
  <si>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</si>
  <si>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</si>
  <si>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</si>
  <si>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</si>
  <si>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</si>
  <si>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</si>
  <si>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</si>
  <si>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</si>
  <si>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</si>
  <si>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</si>
  <si>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</si>
  <si>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</si>
  <si>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</si>
  <si>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</si>
  <si>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</si>
  <si>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</si>
  <si>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</si>
  <si>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</si>
  <si>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</si>
  <si>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</si>
  <si>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</si>
  <si>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</si>
  <si>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</si>
  <si>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</si>
  <si>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</si>
  <si>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</si>
  <si>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</si>
  <si>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</si>
  <si>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</si>
  <si>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</si>
  <si>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</si>
  <si>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</si>
  <si>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</si>
  <si>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</si>
  <si>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</si>
  <si>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</si>
  <si>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</si>
  <si>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</si>
  <si>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</si>
  <si>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</si>
  <si>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</si>
  <si>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</si>
  <si>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</si>
  <si>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</si>
  <si>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</si>
  <si>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</si>
  <si>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</si>
  <si>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</si>
  <si>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</si>
  <si>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</si>
  <si>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</si>
  <si>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</si>
  <si>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</si>
  <si>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</si>
  <si>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</si>
  <si>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</si>
  <si>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</si>
  <si>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</si>
  <si>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</si>
  <si>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</si>
  <si>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</si>
  <si>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</si>
  <si>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</si>
  <si>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</si>
  <si>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</si>
  <si>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</si>
  <si>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</si>
  <si>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</si>
  <si>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</si>
  <si>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</si>
  <si>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</si>
  <si>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</si>
  <si>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</si>
  <si>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</si>
  <si>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</si>
  <si>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</si>
  <si>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</si>
  <si>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</si>
  <si>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</si>
  <si>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</si>
  <si>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</si>
  <si>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</si>
  <si>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</si>
  <si>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</si>
  <si>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</si>
  <si>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</si>
  <si>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</si>
  <si>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</si>
  <si>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</si>
  <si>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</si>
  <si>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</si>
  <si>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</si>
  <si>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</si>
  <si>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</si>
  <si>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</si>
  <si>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</si>
  <si>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</si>
  <si>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</si>
  <si>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</si>
  <si>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</si>
  <si>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</si>
  <si>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</si>
  <si>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</si>
  <si>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</si>
  <si>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</si>
  <si>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</si>
  <si>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</si>
  <si>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</si>
  <si>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</si>
  <si>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</si>
  <si>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</si>
  <si>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</si>
  <si>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</si>
  <si>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</si>
  <si>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</si>
  <si>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</si>
  <si>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</si>
  <si>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</si>
  <si>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</si>
  <si>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</si>
  <si>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</si>
  <si>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</si>
  <si>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</si>
  <si>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</si>
  <si>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</si>
  <si>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</si>
  <si>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</si>
  <si>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</si>
  <si>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</si>
  <si>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</si>
  <si>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</si>
  <si>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</si>
  <si>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</si>
  <si>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</si>
  <si>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</si>
  <si>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</si>
  <si>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</si>
  <si>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</si>
  <si>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</si>
  <si>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</si>
  <si>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</si>
  <si>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</si>
  <si>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</si>
  <si>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</si>
  <si>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</si>
  <si>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</si>
  <si>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</si>
  <si>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</si>
  <si>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</si>
  <si>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</si>
  <si>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</si>
  <si>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</si>
  <si>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</si>
  <si>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</si>
  <si>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</si>
  <si>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</si>
  <si>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</si>
  <si>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</si>
  <si>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</si>
  <si>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</si>
  <si>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</si>
  <si>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</si>
  <si>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</si>
  <si>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</si>
  <si>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</si>
  <si>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</si>
  <si>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</si>
  <si>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</si>
  <si>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</si>
  <si>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</si>
  <si>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</si>
  <si>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</si>
  <si>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</si>
  <si>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</si>
  <si>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</si>
  <si>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</si>
  <si>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</si>
  <si>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</si>
  <si>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</si>
  <si>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</si>
  <si>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</si>
  <si>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</si>
  <si>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</si>
  <si>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</si>
  <si>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</si>
  <si>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</si>
  <si>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</si>
  <si>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</si>
  <si>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</si>
  <si>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</si>
  <si>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</si>
  <si>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</si>
  <si>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</si>
  <si>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</si>
  <si>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</si>
  <si>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</si>
  <si>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</si>
  <si>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</si>
  <si>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</si>
  <si>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</si>
  <si>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</si>
  <si>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</si>
  <si>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</si>
  <si>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</si>
  <si>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</si>
  <si>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</si>
  <si>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</si>
  <si>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</si>
  <si>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</si>
  <si>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</si>
  <si>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</si>
  <si>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</si>
  <si>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</si>
  <si>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</si>
  <si>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</si>
  <si>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</si>
  <si>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</si>
  <si>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</si>
  <si>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</si>
  <si>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</si>
  <si>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</si>
  <si>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</si>
  <si>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</si>
  <si>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</si>
  <si>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</si>
  <si>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</si>
  <si>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</si>
  <si>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</si>
  <si>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</si>
  <si>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</si>
  <si>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</si>
  <si>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</si>
  <si>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</si>
  <si>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</si>
  <si>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</si>
  <si>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</si>
  <si>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</si>
  <si>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</si>
  <si>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</si>
  <si>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</si>
  <si>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</si>
  <si>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</si>
  <si>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</si>
  <si>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</si>
  <si>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</si>
  <si>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</si>
  <si>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</si>
  <si>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</si>
  <si>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</si>
  <si>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</si>
  <si>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</si>
  <si>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</si>
  <si>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</si>
  <si>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</si>
  <si>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</si>
  <si>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</si>
  <si>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</si>
  <si>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</si>
  <si>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</si>
  <si>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</si>
  <si>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</si>
  <si>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</si>
  <si>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</si>
  <si>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</si>
  <si>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</si>
  <si>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</si>
  <si>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</si>
  <si>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</si>
  <si>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</si>
  <si>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</si>
  <si>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</si>
  <si>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</si>
  <si>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</si>
  <si>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</si>
  <si>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</si>
  <si>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</si>
  <si>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</si>
  <si>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</si>
  <si>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</si>
  <si>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</si>
  <si>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</si>
  <si>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</si>
  <si>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</si>
  <si>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</si>
  <si>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</si>
  <si>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</si>
  <si>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</si>
  <si>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</si>
  <si>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</si>
  <si>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</si>
  <si>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</si>
  <si>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</si>
  <si>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</si>
  <si>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</si>
  <si>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</si>
  <si>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</si>
  <si>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</si>
  <si>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</si>
  <si>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</si>
  <si>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</si>
  <si>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</si>
  <si>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</si>
  <si>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</si>
  <si>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</si>
  <si>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</si>
  <si>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</si>
  <si>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</si>
  <si>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</si>
  <si>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</si>
  <si>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</si>
  <si>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</si>
  <si>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</si>
  <si>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</si>
  <si>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</si>
  <si>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</si>
  <si>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</si>
  <si>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</si>
  <si>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</si>
  <si>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</si>
  <si>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</si>
  <si>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</si>
  <si>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</si>
  <si>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</si>
  <si>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</si>
  <si>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</si>
  <si>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</si>
  <si>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</si>
  <si>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</si>
  <si>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</si>
  <si>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</si>
  <si>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</si>
  <si>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</si>
  <si>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</si>
  <si>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</si>
  <si>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</si>
  <si>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</si>
  <si>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</si>
  <si>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</si>
  <si>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</si>
  <si>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</si>
  <si>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</si>
  <si>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</si>
  <si>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</si>
  <si>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</si>
  <si>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</si>
  <si>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</si>
  <si>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</si>
  <si>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</si>
  <si>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</si>
  <si>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</si>
  <si>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</si>
  <si>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</si>
  <si>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</si>
  <si>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</si>
  <si>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</si>
  <si>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</si>
  <si>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</si>
  <si>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</si>
  <si>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</si>
  <si>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</si>
  <si>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</si>
  <si>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</si>
  <si>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</si>
  <si>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</si>
  <si>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</si>
  <si>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</si>
  <si>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</si>
  <si>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</si>
  <si>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</si>
  <si>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</si>
  <si>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</si>
  <si>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</si>
  <si>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</si>
  <si>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</si>
  <si>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</si>
  <si>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</si>
  <si>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</si>
  <si>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</si>
  <si>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</si>
  <si>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</si>
  <si>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</si>
  <si>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</si>
  <si>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</si>
  <si>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</si>
  <si>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</si>
  <si>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</si>
  <si>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</si>
  <si>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</si>
  <si>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</si>
  <si>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</si>
  <si>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</si>
  <si>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</si>
  <si>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</si>
  <si>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</si>
  <si>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</si>
  <si>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</si>
  <si>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</si>
  <si>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</si>
  <si>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</si>
  <si>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</si>
  <si>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</si>
  <si>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</si>
  <si>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</si>
  <si>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</si>
  <si>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</si>
  <si>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</si>
  <si>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</si>
  <si>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</si>
  <si>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</si>
  <si>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</si>
  <si>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</si>
  <si>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</si>
  <si>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</si>
  <si>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</si>
  <si>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</si>
  <si>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</si>
  <si>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</si>
  <si>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</si>
  <si>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</si>
  <si>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</si>
  <si>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</si>
  <si>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</si>
  <si>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</si>
  <si>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</si>
  <si>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</si>
  <si>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</si>
  <si>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</si>
  <si>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</si>
  <si>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</si>
  <si>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</si>
  <si>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</si>
  <si>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</si>
  <si>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</si>
  <si>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</si>
  <si>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</si>
  <si>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</si>
  <si>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</si>
  <si>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</si>
  <si>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</si>
  <si>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</si>
  <si>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</si>
  <si>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</si>
  <si>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</si>
  <si>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</si>
  <si>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</si>
  <si>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</si>
  <si>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</si>
  <si>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</si>
  <si>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</si>
  <si>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</si>
  <si>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</si>
  <si>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</si>
  <si>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</si>
  <si>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</si>
  <si>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</si>
  <si>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</si>
  <si>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</si>
  <si>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</si>
  <si>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</si>
  <si>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</si>
  <si>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</si>
  <si>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</si>
  <si>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</si>
  <si>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</si>
  <si>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</si>
  <si>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</si>
  <si>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</si>
  <si>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</si>
  <si>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</si>
  <si>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</si>
  <si>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</si>
  <si>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</si>
  <si>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</si>
  <si>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</si>
  <si>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</si>
  <si>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</si>
  <si>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</si>
  <si>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</si>
  <si>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</si>
  <si>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</si>
  <si>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</si>
  <si>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</si>
  <si>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</si>
  <si>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</si>
  <si>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</si>
  <si>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</si>
  <si>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</si>
  <si>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</si>
  <si>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</si>
  <si>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</si>
  <si>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</si>
  <si>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</si>
  <si>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</si>
  <si>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</si>
  <si>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</si>
  <si>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</si>
  <si>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</si>
  <si>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</si>
  <si>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</si>
  <si>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</si>
  <si>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</si>
  <si>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</si>
  <si>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</si>
  <si>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</si>
  <si>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</si>
  <si>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</si>
  <si>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</si>
  <si>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</si>
  <si>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</si>
  <si>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</si>
  <si>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</si>
  <si>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</si>
  <si>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</si>
  <si>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</si>
  <si>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</si>
  <si>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</si>
  <si>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</si>
  <si>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</si>
  <si>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</si>
  <si>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</si>
  <si>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</si>
  <si>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</si>
  <si>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</si>
  <si>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</si>
  <si>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</si>
  <si>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</si>
  <si>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</si>
  <si>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</si>
  <si>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</si>
  <si>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</si>
  <si>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</si>
  <si>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</si>
  <si>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</si>
  <si>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</si>
  <si>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</si>
  <si>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</si>
  <si>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</si>
  <si>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</si>
  <si>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</si>
  <si>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</si>
  <si>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</si>
  <si>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</si>
  <si>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</si>
  <si>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</si>
  <si>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</si>
  <si>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</si>
  <si>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</si>
  <si>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</si>
  <si>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</si>
  <si>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</si>
  <si>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</si>
  <si>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</si>
  <si>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</si>
  <si>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</si>
  <si>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</si>
  <si>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</si>
  <si>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</si>
  <si>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</si>
  <si>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</si>
  <si>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</si>
  <si>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</si>
  <si>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</si>
  <si>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</si>
  <si>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</si>
  <si>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</si>
  <si>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</si>
  <si>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</si>
  <si>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</si>
  <si>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</si>
  <si>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</si>
  <si>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</si>
  <si>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</si>
  <si>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</si>
  <si>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</si>
  <si>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</si>
  <si>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</si>
  <si>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</si>
  <si>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</si>
  <si>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</si>
  <si>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</si>
  <si>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</si>
  <si>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</si>
  <si>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</si>
  <si>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</si>
  <si>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</si>
  <si>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</si>
  <si>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</si>
  <si>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</si>
  <si>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</si>
  <si>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</si>
  <si>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</si>
  <si>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</si>
  <si>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</si>
  <si>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</si>
  <si>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</si>
  <si>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</si>
  <si>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</si>
  <si>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</si>
  <si>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</si>
  <si>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</si>
  <si>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</si>
  <si>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</si>
  <si>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</si>
  <si>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</si>
  <si>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</si>
  <si>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</si>
  <si>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</si>
  <si>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</si>
  <si>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</si>
  <si>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</si>
  <si>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</si>
  <si>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</si>
  <si>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</si>
  <si>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</si>
  <si>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</si>
  <si>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</si>
  <si>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</si>
  <si>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</si>
  <si>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</si>
  <si>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</si>
  <si>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</si>
  <si>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</si>
  <si>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</si>
  <si>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</si>
  <si>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</si>
  <si>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</si>
  <si>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</si>
  <si>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</si>
  <si>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</si>
  <si>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</si>
  <si>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</si>
  <si>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</si>
  <si>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</si>
  <si>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</si>
  <si>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</si>
  <si>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</si>
  <si>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</si>
  <si>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</si>
  <si>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</si>
  <si>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</si>
  <si>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</si>
  <si>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</si>
  <si>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</si>
  <si>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</si>
  <si>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</si>
  <si>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</si>
  <si>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</si>
  <si>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</si>
  <si>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</si>
  <si>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</si>
  <si>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</si>
  <si>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</si>
  <si>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</si>
  <si>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</si>
  <si>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</si>
  <si>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</si>
  <si>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</si>
  <si>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</si>
  <si>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</si>
  <si>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</si>
  <si>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</si>
  <si>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</si>
  <si>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</si>
  <si>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</si>
  <si>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</si>
  <si>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</si>
  <si>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</si>
  <si>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</si>
  <si>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</si>
  <si>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</si>
  <si>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</si>
  <si>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</si>
  <si>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</si>
  <si>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</si>
  <si>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</si>
  <si>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</si>
  <si>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</si>
  <si>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</si>
  <si>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</si>
  <si>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</si>
  <si>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</si>
  <si>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</si>
  <si>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</si>
  <si>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</si>
  <si>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</si>
  <si>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</si>
  <si>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</si>
  <si>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</si>
  <si>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</si>
  <si>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</si>
  <si>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</si>
  <si>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</si>
  <si>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</si>
  <si>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</si>
  <si>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</si>
  <si>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</si>
  <si>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</si>
  <si>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</si>
  <si>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</si>
  <si>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</si>
  <si>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</si>
  <si>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</si>
  <si>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</si>
  <si>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</si>
  <si>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</si>
  <si>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</si>
  <si>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</si>
  <si>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</si>
  <si>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</si>
  <si>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</si>
  <si>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</si>
  <si>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</si>
  <si>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</si>
  <si>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</si>
  <si>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</si>
  <si>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</si>
  <si>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</si>
  <si>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</si>
  <si>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</si>
  <si>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</si>
  <si>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</si>
  <si>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</si>
  <si>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</si>
  <si>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</si>
  <si>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</si>
  <si>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</si>
  <si>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</si>
  <si>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</si>
  <si>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</si>
  <si>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</si>
  <si>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</si>
  <si>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</si>
  <si>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</si>
  <si>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</si>
  <si>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</si>
  <si>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</si>
  <si>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</si>
  <si>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</si>
  <si>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</si>
  <si>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</si>
  <si>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</si>
  <si>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</si>
  <si>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</si>
  <si>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</si>
  <si>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</si>
  <si>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</si>
  <si>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</si>
  <si>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</si>
  <si>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</si>
  <si>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</si>
  <si>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</si>
  <si>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</si>
  <si>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</si>
  <si>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</si>
  <si>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</si>
  <si>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</si>
  <si>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</si>
  <si>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</si>
  <si>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</si>
  <si>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</si>
  <si>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</si>
  <si>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</si>
  <si>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</si>
  <si>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</si>
  <si>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</si>
  <si>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</si>
  <si>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</si>
  <si>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</si>
  <si>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</si>
  <si>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</si>
  <si>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</si>
  <si>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</si>
  <si>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</si>
  <si>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</si>
  <si>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</si>
  <si>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</si>
  <si>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</si>
  <si>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</si>
  <si>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</si>
  <si>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</si>
  <si>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</si>
  <si>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</si>
  <si>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</si>
  <si>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</si>
  <si>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</si>
  <si>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</si>
  <si>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</si>
  <si>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</si>
  <si>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</si>
  <si>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</si>
  <si>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</si>
  <si>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</si>
  <si>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</si>
  <si>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</si>
  <si>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</si>
  <si>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</si>
  <si>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</si>
  <si>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</si>
  <si>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</si>
  <si>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</si>
  <si>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</si>
  <si>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</si>
  <si>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</si>
  <si>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</si>
  <si>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</si>
  <si>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</si>
  <si>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</si>
  <si>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</si>
  <si>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</si>
  <si>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</si>
  <si>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</si>
  <si>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</si>
  <si>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</si>
  <si>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</si>
  <si>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</si>
  <si>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</si>
  <si>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</si>
  <si>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</si>
  <si>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</si>
  <si>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</si>
  <si>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</si>
  <si>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</si>
  <si>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</si>
  <si>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</si>
  <si>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</si>
  <si>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</si>
  <si>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</si>
  <si>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</si>
  <si>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</si>
  <si>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</si>
  <si>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</si>
  <si>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</si>
  <si>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</si>
  <si>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</si>
  <si>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</si>
  <si>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</si>
  <si>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</si>
  <si>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</si>
  <si>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</si>
  <si>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</si>
  <si>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</si>
  <si>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</si>
  <si>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</si>
  <si>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</si>
  <si>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</si>
  <si>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</si>
  <si>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</si>
  <si>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</si>
  <si>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</si>
  <si>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</si>
  <si>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</si>
  <si>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</si>
  <si>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</si>
  <si>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</si>
  <si>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</si>
  <si>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</si>
  <si>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</si>
  <si>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</si>
  <si>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</si>
  <si>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</si>
  <si>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</si>
  <si>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</si>
  <si>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</si>
  <si>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</si>
  <si>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</si>
  <si>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</si>
  <si>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</si>
  <si>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</si>
  <si>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</si>
  <si>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</si>
  <si>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</si>
  <si>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</si>
  <si>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</si>
  <si>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</si>
  <si>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</si>
  <si>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</si>
  <si>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</si>
  <si>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</si>
  <si>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</si>
  <si>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</si>
  <si>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</si>
  <si>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</si>
  <si>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</si>
  <si>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</si>
  <si>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</si>
  <si>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</si>
  <si>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</si>
  <si>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</si>
  <si>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</si>
  <si>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</si>
  <si>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</si>
  <si>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</si>
  <si>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</si>
  <si>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</si>
  <si>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</si>
  <si>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</si>
  <si>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</si>
  <si>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</si>
  <si>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</si>
  <si>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</si>
  <si>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</si>
  <si>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</si>
  <si>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</si>
  <si>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</si>
  <si>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</si>
  <si>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</si>
  <si>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</si>
  <si>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</si>
  <si>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</si>
  <si>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</si>
  <si>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</si>
  <si>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</si>
  <si>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</si>
  <si>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</si>
  <si>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</si>
  <si>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</si>
  <si>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</si>
  <si>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</si>
  <si>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</si>
  <si>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</si>
  <si>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</si>
  <si>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</si>
  <si>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</si>
  <si>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</si>
  <si>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</si>
  <si>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</si>
  <si>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</si>
  <si>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</si>
  <si>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</si>
  <si>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</si>
  <si>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</si>
  <si>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</si>
  <si>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</si>
  <si>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</si>
  <si>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</si>
  <si>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</si>
  <si>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</si>
  <si>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</si>
  <si>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</si>
  <si>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</si>
  <si>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</si>
  <si>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</si>
  <si>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</si>
  <si>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</si>
  <si>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</si>
  <si>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</si>
  <si>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</si>
  <si>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</si>
  <si>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</si>
  <si>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</si>
  <si>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</si>
  <si>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</si>
  <si>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</si>
  <si>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</si>
  <si>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</si>
  <si>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</si>
  <si>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</si>
  <si>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</si>
  <si>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</si>
  <si>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</si>
  <si>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</si>
  <si>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</si>
  <si>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</si>
  <si>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</si>
  <si>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</si>
  <si>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</si>
  <si>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</si>
  <si>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</si>
  <si>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</si>
  <si>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</si>
  <si>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</si>
  <si>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</si>
  <si>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</si>
  <si>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</si>
  <si>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</si>
  <si>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</si>
  <si>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</si>
  <si>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</si>
  <si>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</si>
  <si>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</si>
  <si>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</si>
  <si>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</si>
  <si>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</si>
  <si>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</si>
  <si>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</si>
  <si>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</si>
  <si>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</si>
  <si>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</si>
  <si>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</si>
  <si>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</si>
  <si>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</si>
  <si>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</si>
  <si>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</si>
  <si>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</si>
  <si>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</si>
  <si>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</si>
  <si>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</si>
  <si>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</si>
  <si>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</si>
  <si>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</si>
  <si>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</si>
  <si>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</si>
  <si>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</si>
  <si>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</si>
  <si>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</si>
  <si>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</si>
  <si>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</si>
  <si>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</si>
  <si>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</si>
  <si>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</si>
  <si>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</si>
  <si>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</si>
  <si>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</si>
  <si>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</si>
  <si>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</si>
  <si>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</si>
  <si>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</si>
  <si>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</si>
  <si>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</si>
  <si>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</si>
  <si>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</si>
  <si>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</si>
  <si>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</si>
  <si>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</si>
  <si>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</si>
  <si>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</si>
  <si>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</si>
  <si>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</si>
  <si>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</si>
  <si>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</si>
  <si>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</si>
  <si>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</si>
  <si>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</si>
  <si>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</si>
  <si>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</si>
  <si>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</si>
  <si>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</si>
  <si>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</si>
  <si>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</si>
  <si>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</si>
  <si>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</si>
  <si>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</si>
  <si>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</si>
  <si>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</si>
  <si>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</si>
  <si>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</si>
  <si>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</si>
  <si>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</si>
  <si>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</si>
  <si>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</si>
  <si>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</si>
  <si>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</si>
  <si>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</si>
  <si>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</si>
  <si>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</si>
  <si>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</si>
  <si>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</si>
  <si>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</si>
  <si>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</si>
  <si>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</si>
  <si>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</si>
  <si>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</si>
  <si>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</si>
  <si>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</si>
  <si>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</si>
  <si>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</si>
  <si>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</si>
  <si>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</si>
  <si>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</si>
  <si>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</si>
  <si>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</si>
  <si>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</si>
  <si>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</si>
  <si>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</si>
  <si>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</si>
  <si>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</si>
  <si>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</si>
  <si>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</si>
  <si>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</si>
  <si>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</si>
  <si>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</si>
  <si>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</si>
  <si>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</si>
  <si>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</si>
  <si>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</si>
  <si>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</si>
  <si>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</si>
  <si>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</si>
  <si>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</si>
  <si>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</si>
  <si>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</si>
  <si>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</si>
  <si>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</si>
  <si>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</si>
  <si>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</si>
  <si>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</si>
  <si>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</si>
  <si>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</si>
  <si>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</si>
  <si>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</si>
  <si>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</si>
  <si>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</si>
  <si>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</si>
  <si>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</si>
  <si>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</si>
  <si>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</si>
  <si>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</si>
  <si>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</si>
  <si>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</si>
  <si>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</si>
  <si>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</si>
  <si>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</si>
  <si>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</si>
  <si>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</si>
  <si>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</si>
  <si>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</si>
  <si>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</si>
  <si>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</si>
  <si>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</si>
  <si>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</si>
  <si>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</si>
  <si>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</si>
  <si>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</si>
  <si>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</si>
  <si>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</si>
  <si>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</si>
  <si>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</si>
  <si>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</si>
  <si>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</si>
  <si>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</si>
  <si>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</si>
  <si>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</si>
  <si>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</si>
  <si>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</si>
  <si>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</si>
  <si>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</si>
  <si>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</si>
  <si>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</si>
  <si>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</si>
  <si>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</si>
  <si>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</si>
  <si>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</si>
  <si>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</si>
  <si>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</si>
  <si>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</si>
  <si>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</si>
  <si>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</si>
  <si>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</si>
  <si>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</si>
  <si>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</si>
  <si>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</si>
  <si>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</si>
  <si>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</si>
  <si>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</si>
  <si>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</si>
  <si>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</si>
  <si>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</si>
  <si>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</si>
  <si>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</si>
  <si>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</si>
  <si>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</si>
  <si>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</si>
  <si>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</si>
  <si>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</si>
  <si>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</si>
  <si>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</si>
  <si>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</si>
  <si>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</si>
  <si>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</si>
  <si>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</si>
  <si>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</si>
  <si>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</si>
  <si>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</si>
  <si>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</si>
  <si>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</si>
  <si>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</si>
  <si>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</si>
  <si>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</si>
  <si>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</si>
  <si>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</si>
  <si>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</si>
  <si>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</si>
  <si>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</si>
  <si>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</si>
  <si>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</si>
  <si>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</si>
  <si>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</si>
  <si>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</si>
  <si>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</si>
  <si>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</si>
  <si>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</si>
  <si>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</si>
  <si>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</si>
  <si>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</si>
  <si>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</si>
  <si>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</si>
  <si>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</si>
  <si>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</si>
  <si>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</si>
  <si>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</si>
  <si>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</si>
  <si>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</si>
  <si>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</si>
  <si>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</si>
  <si>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</si>
  <si>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</si>
  <si>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</si>
  <si>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</si>
  <si>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</si>
  <si>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</si>
  <si>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</si>
  <si>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</si>
  <si>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</si>
  <si>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</si>
  <si>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</si>
  <si>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</si>
  <si>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</si>
  <si>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</si>
  <si>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</si>
  <si>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</si>
  <si>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</si>
  <si>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</si>
  <si>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</si>
  <si>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</si>
  <si>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</si>
  <si>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</si>
  <si>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</si>
  <si>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</si>
  <si>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</si>
  <si>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</si>
  <si>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</si>
  <si>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</si>
  <si>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</si>
  <si>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</si>
  <si>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</si>
  <si>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</si>
  <si>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</si>
  <si>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</si>
  <si>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</si>
  <si>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</si>
  <si>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</si>
  <si>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</si>
  <si>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</si>
  <si>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</si>
  <si>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</si>
  <si>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</si>
  <si>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</si>
  <si>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</si>
  <si>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</si>
  <si>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</si>
  <si>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</si>
  <si>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</si>
  <si>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</si>
  <si>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</si>
  <si>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</si>
  <si>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</si>
  <si>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</si>
  <si>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</si>
  <si>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</si>
  <si>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</si>
  <si>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</si>
  <si>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</si>
  <si>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</si>
  <si>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</si>
  <si>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</si>
  <si>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</si>
  <si>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</si>
  <si>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</si>
  <si>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</si>
  <si>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</si>
  <si>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</si>
  <si>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</si>
  <si>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</si>
  <si>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</si>
  <si>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</si>
  <si>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</si>
  <si>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</si>
  <si>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</si>
  <si>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</si>
  <si>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</si>
  <si>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</si>
  <si>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</si>
  <si>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</si>
  <si>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</si>
  <si>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</si>
  <si>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</si>
  <si>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</si>
  <si>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</si>
  <si>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</si>
  <si>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</si>
  <si>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</si>
  <si>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</si>
  <si>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</si>
  <si>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</si>
  <si>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</si>
  <si>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</si>
  <si>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</si>
  <si>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</si>
  <si>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</si>
  <si>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</si>
  <si>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</si>
  <si>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</si>
  <si>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</si>
  <si>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</si>
  <si>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</si>
  <si>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</si>
  <si>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</si>
  <si>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</si>
  <si>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</si>
  <si>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</si>
  <si>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</si>
  <si>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</si>
  <si>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</si>
  <si>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</si>
  <si>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</si>
  <si>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</si>
  <si>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</si>
  <si>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</si>
  <si>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</si>
  <si>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</si>
  <si>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</si>
  <si>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</si>
  <si>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</si>
  <si>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</si>
  <si>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</si>
  <si>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</si>
  <si>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</si>
  <si>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</si>
  <si>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</si>
  <si>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</si>
  <si>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</si>
  <si>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</si>
  <si>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</si>
  <si>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</si>
  <si>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</si>
  <si>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</si>
  <si>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</si>
  <si>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</si>
  <si>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</si>
  <si>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</si>
  <si>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</si>
  <si>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</si>
  <si>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</si>
  <si>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</si>
  <si>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</si>
  <si>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</si>
  <si>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</si>
  <si>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</si>
  <si>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</si>
  <si>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</si>
  <si>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</si>
  <si>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</si>
  <si>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</si>
  <si>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</si>
  <si>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</si>
  <si>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</si>
  <si>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</si>
  <si>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</si>
  <si>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</si>
  <si>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</si>
  <si>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</si>
  <si>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</si>
  <si>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</si>
  <si>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</si>
  <si>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</si>
  <si>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</si>
  <si>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</si>
  <si>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</si>
  <si>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</si>
  <si>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</si>
  <si>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</si>
  <si>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</si>
  <si>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</si>
  <si>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</si>
  <si>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</si>
  <si>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</si>
  <si>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</si>
  <si>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</si>
  <si>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</si>
  <si>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</si>
  <si>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</si>
  <si>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</si>
  <si>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</si>
  <si>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</si>
  <si>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</si>
  <si>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</si>
  <si>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</si>
  <si>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</si>
  <si>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</si>
  <si>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</si>
  <si>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</si>
  <si>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</si>
  <si>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</si>
  <si>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</si>
  <si>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</si>
  <si>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</si>
  <si>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</si>
  <si>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</si>
  <si>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</si>
  <si>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</si>
  <si>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</si>
  <si>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</si>
  <si>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</si>
  <si>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</si>
  <si>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</si>
  <si>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</si>
  <si>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</si>
  <si>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</si>
  <si>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</si>
  <si>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</si>
  <si>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</si>
  <si>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</si>
  <si>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</si>
  <si>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</si>
  <si>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</si>
  <si>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</si>
  <si>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</si>
  <si>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</si>
  <si>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</si>
  <si>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</si>
  <si>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</si>
  <si>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</si>
  <si>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</si>
  <si>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</si>
  <si>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</si>
  <si>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</si>
  <si>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</si>
  <si>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</si>
  <si>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</si>
  <si>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</si>
  <si>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</si>
  <si>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</si>
  <si>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</si>
  <si>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</si>
  <si>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</si>
  <si>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</si>
  <si>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</si>
  <si>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</si>
  <si>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</si>
  <si>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</si>
  <si>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</si>
  <si>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</si>
  <si>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</si>
  <si>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</si>
  <si>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</si>
  <si>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</si>
  <si>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</si>
  <si>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</si>
  <si>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</si>
  <si>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</si>
  <si>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</si>
  <si>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</si>
  <si>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</si>
  <si>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</si>
  <si>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</si>
  <si>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</si>
  <si>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</si>
  <si>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</si>
  <si>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</si>
  <si>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</si>
  <si>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</si>
  <si>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</si>
  <si>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</si>
  <si>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</si>
  <si>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</si>
  <si>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</si>
  <si>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</si>
  <si>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</si>
  <si>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</si>
  <si>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</si>
  <si>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</si>
  <si>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</si>
  <si>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</si>
  <si>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</si>
  <si>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</si>
  <si>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</si>
  <si>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</si>
  <si>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</si>
  <si>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</si>
  <si>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</si>
  <si>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</si>
  <si>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</si>
  <si>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</si>
  <si>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</si>
  <si>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</si>
  <si>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</si>
  <si>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</si>
  <si>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</si>
  <si>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</si>
  <si>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</si>
  <si>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</si>
  <si>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</si>
  <si>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</si>
  <si>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</si>
  <si>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</si>
  <si>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</si>
  <si>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</si>
  <si>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</si>
  <si>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</si>
  <si>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</si>
  <si>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</si>
  <si>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</si>
  <si>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</si>
  <si>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</si>
  <si>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</si>
  <si>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</si>
  <si>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</si>
  <si>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</si>
  <si>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</si>
  <si>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</si>
  <si>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</si>
  <si>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</si>
  <si>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</si>
  <si>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</si>
  <si>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</si>
  <si>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</si>
  <si>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</si>
  <si>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</si>
  <si>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</si>
  <si>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</si>
  <si>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</si>
  <si>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</si>
  <si>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</si>
  <si>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</si>
  <si>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</si>
  <si>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</si>
  <si>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</si>
  <si>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</si>
  <si>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</si>
  <si>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</si>
  <si>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</si>
  <si>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</si>
  <si>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</si>
  <si>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</si>
  <si>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</si>
  <si>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</si>
  <si>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</si>
  <si>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</si>
  <si>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</si>
  <si>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</si>
  <si>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</si>
  <si>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</si>
  <si>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</si>
  <si>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</si>
  <si>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</si>
  <si>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</si>
  <si>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</si>
  <si>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</si>
  <si>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</si>
  <si>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</si>
  <si>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</si>
  <si>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</si>
  <si>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</si>
  <si>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</si>
  <si>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</si>
  <si>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</si>
  <si>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</si>
  <si>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</si>
  <si>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</si>
  <si>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</si>
  <si>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</si>
  <si>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</si>
  <si>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</si>
  <si>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</si>
  <si>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</si>
  <si>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</si>
  <si>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</si>
  <si>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</si>
  <si>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</si>
  <si>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</si>
  <si>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</si>
  <si>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</si>
  <si>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</si>
  <si>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</si>
  <si>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</si>
  <si>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</si>
  <si>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</si>
  <si>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</si>
  <si>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</si>
  <si>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</si>
  <si>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</si>
  <si>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</si>
  <si>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</si>
  <si>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</si>
  <si>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</si>
  <si>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</si>
  <si>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</si>
  <si>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</si>
  <si>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</si>
  <si>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</si>
  <si>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</si>
  <si>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</si>
  <si>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</si>
  <si>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</si>
  <si>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</si>
  <si>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</si>
  <si>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</si>
  <si>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</si>
  <si>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</si>
  <si>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</si>
  <si>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</si>
  <si>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</si>
  <si>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</si>
  <si>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</si>
  <si>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</si>
  <si>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</si>
  <si>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</si>
  <si>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</si>
  <si>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</si>
  <si>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</si>
  <si>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</si>
  <si>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</si>
  <si>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</si>
  <si>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</si>
  <si>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</si>
  <si>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</si>
  <si>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</si>
  <si>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</si>
  <si>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</si>
  <si>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</si>
  <si>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</si>
  <si>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</si>
  <si>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</si>
  <si>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</si>
  <si>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</si>
  <si>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</si>
  <si>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</si>
  <si>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</si>
  <si>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</si>
  <si>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</si>
  <si>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</si>
  <si>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</si>
  <si>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</si>
  <si>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</si>
  <si>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</si>
  <si>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</si>
  <si>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</si>
  <si>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</si>
  <si>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</si>
  <si>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</si>
  <si>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</si>
  <si>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</si>
  <si>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</si>
  <si>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</si>
  <si>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</si>
  <si>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</si>
  <si>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</si>
  <si>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</si>
  <si>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</si>
  <si>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</si>
  <si>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</si>
  <si>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</si>
  <si>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</si>
  <si>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</si>
  <si>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</si>
  <si>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</si>
  <si>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</si>
  <si>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</si>
  <si>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</si>
  <si>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</si>
  <si>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</si>
  <si>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</si>
  <si>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</si>
  <si>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</si>
  <si>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</si>
  <si>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</si>
  <si>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</si>
  <si>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</si>
  <si>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</si>
  <si>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</si>
  <si>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</si>
  <si>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</si>
  <si>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</si>
  <si>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</si>
  <si>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</si>
  <si>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</si>
  <si>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</si>
  <si>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</si>
  <si>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</si>
  <si>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</si>
  <si>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</si>
  <si>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</si>
  <si>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</si>
  <si>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</si>
  <si>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</si>
  <si>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</si>
  <si>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</si>
  <si>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</si>
  <si>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</si>
  <si>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</si>
  <si>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</si>
  <si>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</si>
  <si>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</si>
  <si>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</si>
  <si>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</si>
  <si>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</si>
  <si>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</si>
  <si>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</si>
  <si>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</si>
  <si>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</si>
  <si>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</si>
  <si>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</si>
  <si>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</si>
  <si>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</si>
  <si>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</si>
  <si>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</si>
  <si>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</si>
  <si>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</si>
  <si>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</si>
  <si>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</si>
  <si>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</si>
  <si>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</si>
  <si>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</si>
  <si>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</si>
  <si>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</si>
  <si>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</si>
  <si>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</si>
  <si>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</si>
  <si>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</si>
  <si>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</si>
  <si>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</si>
  <si>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</si>
  <si>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</si>
  <si>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</si>
  <si>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</si>
  <si>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</si>
  <si>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</si>
  <si>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</si>
  <si>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</si>
  <si>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</si>
  <si>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</si>
  <si>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</si>
  <si>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</si>
  <si>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</si>
  <si>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</si>
  <si>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</si>
  <si>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</si>
  <si>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</si>
  <si>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</si>
  <si>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</si>
  <si>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</si>
  <si>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</si>
  <si>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</si>
  <si>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</si>
  <si>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</si>
  <si>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</si>
  <si>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</si>
  <si>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</si>
  <si>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</si>
  <si>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</si>
  <si>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</si>
  <si>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</si>
  <si>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</si>
  <si>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</si>
  <si>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</si>
  <si>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</si>
  <si>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</si>
  <si>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</si>
  <si>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</si>
  <si>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</si>
  <si>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</si>
  <si>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</si>
  <si>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</si>
  <si>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</si>
  <si>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</si>
  <si>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</si>
  <si>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</si>
  <si>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</si>
  <si>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</si>
  <si>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</si>
  <si>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</si>
  <si>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</si>
  <si>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</si>
  <si>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</si>
  <si>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</si>
  <si>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</si>
  <si>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</si>
  <si>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</si>
  <si>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</si>
  <si>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</si>
  <si>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</si>
  <si>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</si>
  <si>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</si>
  <si>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</si>
  <si>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</si>
  <si>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</si>
  <si>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</si>
  <si>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</si>
  <si>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</si>
  <si>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</si>
  <si>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</si>
  <si>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</si>
  <si>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</si>
  <si>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</si>
  <si>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</si>
  <si>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</si>
  <si>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</si>
  <si>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</si>
  <si>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</si>
  <si>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</si>
  <si>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</si>
  <si>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</si>
  <si>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</si>
  <si>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</si>
  <si>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</si>
  <si>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</si>
  <si>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</si>
  <si>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</si>
  <si>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</si>
  <si>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</si>
  <si>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</si>
  <si>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</si>
  <si>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</si>
  <si>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</si>
  <si>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</si>
  <si>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</si>
  <si>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</si>
  <si>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</si>
  <si>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</si>
  <si>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</si>
  <si>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</si>
  <si>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</si>
  <si>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</si>
  <si>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</si>
  <si>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</si>
  <si>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</si>
  <si>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</si>
  <si>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</si>
  <si>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</si>
  <si>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</si>
  <si>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</si>
  <si>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</si>
  <si>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</si>
  <si>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</si>
  <si>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</si>
  <si>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</si>
  <si>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</si>
  <si>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</si>
  <si>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</si>
  <si>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</si>
  <si>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</si>
  <si>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</si>
  <si>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</si>
  <si>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</si>
  <si>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</si>
  <si>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</si>
  <si>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</si>
  <si>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</si>
  <si>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</si>
  <si>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</si>
  <si>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</si>
  <si>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</si>
  <si>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</si>
  <si>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</si>
  <si>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</si>
  <si>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</si>
  <si>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</si>
  <si>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</si>
  <si>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</si>
  <si>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</si>
  <si>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</si>
  <si>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</si>
  <si>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</si>
  <si>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</si>
  <si>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</si>
  <si>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</si>
  <si>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</si>
  <si>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</si>
  <si>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</si>
  <si>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</si>
  <si>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</si>
  <si>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</si>
  <si>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</si>
  <si>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</si>
  <si>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</si>
  <si>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</si>
  <si>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</si>
  <si>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</si>
  <si>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</si>
  <si>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</si>
  <si>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</si>
  <si>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</si>
  <si>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</si>
  <si>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</si>
  <si>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</si>
  <si>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</si>
  <si>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</si>
  <si>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</si>
  <si>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</si>
  <si>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</si>
  <si>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</si>
  <si>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</si>
  <si>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</si>
  <si>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</si>
  <si>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</si>
  <si>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</si>
  <si>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</si>
  <si>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</si>
  <si>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</si>
  <si>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</si>
  <si>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</si>
  <si>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</si>
  <si>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</si>
  <si>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</si>
  <si>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</si>
  <si>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</si>
  <si>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</si>
  <si>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</si>
  <si>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</si>
  <si>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</si>
  <si>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</si>
  <si>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</si>
  <si>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</si>
  <si>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</si>
  <si>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</si>
  <si>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</si>
  <si>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</si>
  <si>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</si>
  <si>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</si>
  <si>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</si>
  <si>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</si>
  <si>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</si>
  <si>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</si>
  <si>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</si>
  <si>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</si>
  <si>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</si>
  <si>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</si>
  <si>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</si>
  <si>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</si>
  <si>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</si>
  <si>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</si>
  <si>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</si>
  <si>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</si>
  <si>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</si>
  <si>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</si>
  <si>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</si>
  <si>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</si>
  <si>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</si>
  <si>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</si>
  <si>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</si>
  <si>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</si>
  <si>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</si>
  <si>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</si>
  <si>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</si>
  <si>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</si>
  <si>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</si>
  <si>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</si>
  <si>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</si>
  <si>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</si>
  <si>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</si>
  <si>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</si>
  <si>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</si>
  <si>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</si>
  <si>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</si>
  <si>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</si>
  <si>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</si>
  <si>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</si>
  <si>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</si>
  <si>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</si>
  <si>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</si>
  <si>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</si>
  <si>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</si>
  <si>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</si>
  <si>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</si>
  <si>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</si>
  <si>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</si>
  <si>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</si>
  <si>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</si>
  <si>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</si>
  <si>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</si>
  <si>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</si>
  <si>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</si>
  <si>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</si>
  <si>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</si>
  <si>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</si>
  <si>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</si>
  <si>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</si>
  <si>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</si>
  <si>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</si>
  <si>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</si>
  <si>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</si>
  <si>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</si>
  <si>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</si>
  <si>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</si>
  <si>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</si>
  <si>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</si>
  <si>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</si>
  <si>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</si>
  <si>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</si>
  <si>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</si>
  <si>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</si>
  <si>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</si>
  <si>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</si>
  <si>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</si>
  <si>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</si>
  <si>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</si>
  <si>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</si>
  <si>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</si>
  <si>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</si>
  <si>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</si>
  <si>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</si>
  <si>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</si>
  <si>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</si>
  <si>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</si>
  <si>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</si>
  <si>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</si>
  <si>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</si>
  <si>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</si>
  <si>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</si>
  <si>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</si>
  <si>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</si>
  <si>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</si>
  <si>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</si>
  <si>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</si>
  <si>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</si>
  <si>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</si>
  <si>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</si>
  <si>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</si>
  <si>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</si>
  <si>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</si>
  <si>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</si>
  <si>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</si>
  <si>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</si>
  <si>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</si>
  <si>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</si>
  <si>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</si>
  <si>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</si>
  <si>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</si>
  <si>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</si>
  <si>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</si>
  <si>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</si>
  <si>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</si>
  <si>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</si>
  <si>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</si>
  <si>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</si>
  <si>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</si>
  <si>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</si>
  <si>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</si>
  <si>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</si>
  <si>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</si>
  <si>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</si>
  <si>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</si>
  <si>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</si>
  <si>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</si>
  <si>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</si>
  <si>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</si>
  <si>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</si>
  <si>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</si>
  <si>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</si>
  <si>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</si>
  <si>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</si>
  <si>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</si>
  <si>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</si>
  <si>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</si>
  <si>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</si>
  <si>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</si>
  <si>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</si>
  <si>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</si>
  <si>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</si>
  <si>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</si>
  <si>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</si>
  <si>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</si>
  <si>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</si>
  <si>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</si>
  <si>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</si>
  <si>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</si>
  <si>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</si>
  <si>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</si>
  <si>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</si>
  <si>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</si>
  <si>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</si>
  <si>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</si>
  <si>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</si>
  <si>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</si>
  <si>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</si>
  <si>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</si>
  <si>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</si>
  <si>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</si>
  <si>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</si>
  <si>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</si>
  <si>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</si>
  <si>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</si>
  <si>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</si>
  <si>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</si>
  <si>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</si>
  <si>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</si>
  <si>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</si>
  <si>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</si>
  <si>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</si>
  <si>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</si>
  <si>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</si>
  <si>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</si>
  <si>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</si>
  <si>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</si>
  <si>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</si>
  <si>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</si>
  <si>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</si>
  <si>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</si>
  <si>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</si>
  <si>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</si>
  <si>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</si>
  <si>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</si>
  <si>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</si>
  <si>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</si>
  <si>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</si>
  <si>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</si>
  <si>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</si>
  <si>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</si>
  <si>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</si>
  <si>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</si>
  <si>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</si>
  <si>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</si>
  <si>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</si>
  <si>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</si>
  <si>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</si>
  <si>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</si>
  <si>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</si>
  <si>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</si>
  <si>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</si>
  <si>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</si>
  <si>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</si>
  <si>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</si>
  <si>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</si>
  <si>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</si>
  <si>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</si>
  <si>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</si>
  <si>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</si>
  <si>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</si>
  <si>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</si>
  <si>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</si>
  <si>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</si>
  <si>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</si>
  <si>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</si>
  <si>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</si>
  <si>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</si>
  <si>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</si>
  <si>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</si>
  <si>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</si>
  <si>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</si>
  <si>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</si>
  <si>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</si>
  <si>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</si>
  <si>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</si>
  <si>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</si>
  <si>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</si>
  <si>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</si>
  <si>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</si>
  <si>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</si>
  <si>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</si>
  <si>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</si>
  <si>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</si>
  <si>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</si>
  <si>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</si>
  <si>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</si>
  <si>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</si>
  <si>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</si>
  <si>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</si>
  <si>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</si>
  <si>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</si>
  <si>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</si>
  <si>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</si>
  <si>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</si>
  <si>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</si>
  <si>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</si>
  <si>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</si>
  <si>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</si>
  <si>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</si>
  <si>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</si>
  <si>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</si>
  <si>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</si>
  <si>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</si>
  <si>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</si>
  <si>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</si>
  <si>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</si>
  <si>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</si>
  <si>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</si>
  <si>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</si>
  <si>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</si>
  <si>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</si>
  <si>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</si>
  <si>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</si>
  <si>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</si>
  <si>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</si>
  <si>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</si>
  <si>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</si>
  <si>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</si>
  <si>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</si>
  <si>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</si>
  <si>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</si>
  <si>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</si>
  <si>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</si>
  <si>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</si>
  <si>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</si>
  <si>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</si>
  <si>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</si>
  <si>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</si>
  <si>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</si>
  <si>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</si>
  <si>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</si>
  <si>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</si>
  <si>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</si>
  <si>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</si>
  <si>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</si>
  <si>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</si>
  <si>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</si>
  <si>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</si>
  <si>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</si>
  <si>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</si>
  <si>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</si>
  <si>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</si>
  <si>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</si>
  <si>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</si>
  <si>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</si>
  <si>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</si>
  <si>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</si>
  <si>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</si>
  <si>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</si>
  <si>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</si>
  <si>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</si>
  <si>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</si>
  <si>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</si>
  <si>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</si>
  <si>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</si>
  <si>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</si>
  <si>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</si>
  <si>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</si>
  <si>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</si>
  <si>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</si>
  <si>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</si>
  <si>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</si>
  <si>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</si>
  <si>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</si>
  <si>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</si>
  <si>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</si>
  <si>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</si>
  <si>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</si>
  <si>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</si>
  <si>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</si>
  <si>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</si>
  <si>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</si>
  <si>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</si>
  <si>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</si>
  <si>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</si>
  <si>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</si>
  <si>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</si>
  <si>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</si>
  <si>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</si>
  <si>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</si>
  <si>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</si>
  <si>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</si>
  <si>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</si>
  <si>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</si>
  <si>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</si>
  <si>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</si>
  <si>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</si>
  <si>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</si>
  <si>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</si>
  <si>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</si>
  <si>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</si>
  <si>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</si>
  <si>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</si>
  <si>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</si>
  <si>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</si>
  <si>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</si>
  <si>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</si>
  <si>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</si>
  <si>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</si>
  <si>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</si>
  <si>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</si>
  <si>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</si>
  <si>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</si>
  <si>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</si>
  <si>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</si>
  <si>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</si>
  <si>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</si>
  <si>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</si>
  <si>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</si>
  <si>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</si>
  <si>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</si>
  <si>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</si>
  <si>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</si>
  <si>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</si>
  <si>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</si>
  <si>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</si>
  <si>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</si>
  <si>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</si>
  <si>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</si>
  <si>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</si>
  <si>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</si>
  <si>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</si>
  <si>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</si>
  <si>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</si>
  <si>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</si>
  <si>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</si>
  <si>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</si>
  <si>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</si>
  <si>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</si>
  <si>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</si>
  <si>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</si>
  <si>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</si>
  <si>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</si>
  <si>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</si>
  <si>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</si>
  <si>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</si>
  <si>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</si>
  <si>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</si>
  <si>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</si>
  <si>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</si>
  <si>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</si>
  <si>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</si>
  <si>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</si>
  <si>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</si>
  <si>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</si>
  <si>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</si>
  <si>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</si>
  <si>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</si>
  <si>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</si>
  <si>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</si>
  <si>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</si>
  <si>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</si>
  <si>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</si>
  <si>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</si>
  <si>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</si>
  <si>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</si>
  <si>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</si>
  <si>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</si>
  <si>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</si>
  <si>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</si>
  <si>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</si>
  <si>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</si>
  <si>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</si>
  <si>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</si>
  <si>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</si>
  <si>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</si>
  <si>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</si>
  <si>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</si>
  <si>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</si>
  <si>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</si>
  <si>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</si>
  <si>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</si>
  <si>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</si>
  <si>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</si>
  <si>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</si>
  <si>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</si>
  <si>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</si>
  <si>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</si>
  <si>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</si>
  <si>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</si>
  <si>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</si>
  <si>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</si>
  <si>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</si>
  <si>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</si>
  <si>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</si>
  <si>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</si>
  <si>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</si>
  <si>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</si>
  <si>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</si>
  <si>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</si>
  <si>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</si>
  <si>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</si>
  <si>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</si>
  <si>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</si>
  <si>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</si>
  <si>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</si>
  <si>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</si>
  <si>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</si>
  <si>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</si>
  <si>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</si>
  <si>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</si>
  <si>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</si>
  <si>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</si>
  <si>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</si>
  <si>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</si>
  <si>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</si>
  <si>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</si>
  <si>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</si>
  <si>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</si>
  <si>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</si>
  <si>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</si>
  <si>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</si>
  <si>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</si>
  <si>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</si>
  <si>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</si>
  <si>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</si>
  <si>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</si>
  <si>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</si>
  <si>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</si>
  <si>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</si>
  <si>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</si>
  <si>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</si>
  <si>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</si>
  <si>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</si>
  <si>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</si>
  <si>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</si>
  <si>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</si>
  <si>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</si>
  <si>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</si>
  <si>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</si>
  <si>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</si>
  <si>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</si>
  <si>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</si>
  <si>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</si>
  <si>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</si>
  <si>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</si>
  <si>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</si>
  <si>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</si>
  <si>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</si>
  <si>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</si>
  <si>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</si>
  <si>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</si>
  <si>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</si>
  <si>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</si>
  <si>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</si>
  <si>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</si>
  <si>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</si>
  <si>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</si>
  <si>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</si>
  <si>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</si>
  <si>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</si>
  <si>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</si>
  <si>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</si>
  <si>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</si>
  <si>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</si>
  <si>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</si>
  <si>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</si>
  <si>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</si>
  <si>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</si>
  <si>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</si>
  <si>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</si>
  <si>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</si>
  <si>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</si>
  <si>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</si>
  <si>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</si>
  <si>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</si>
  <si>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</si>
  <si>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</si>
  <si>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</si>
  <si>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</si>
  <si>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</si>
  <si>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</si>
  <si>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</si>
  <si>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</si>
  <si>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</si>
  <si>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</si>
  <si>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</si>
  <si>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</si>
  <si>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</si>
  <si>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</si>
  <si>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</si>
  <si>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</si>
  <si>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</si>
  <si>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</si>
  <si>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</si>
  <si>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</si>
  <si>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</si>
  <si>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</si>
  <si>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</si>
  <si>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</si>
  <si>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</si>
  <si>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</si>
  <si>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</si>
  <si>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</si>
  <si>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</si>
  <si>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</si>
  <si>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</si>
  <si>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</si>
  <si>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</si>
  <si>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</si>
  <si>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</si>
  <si>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</si>
  <si>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</si>
  <si>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</si>
  <si>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</si>
  <si>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</si>
  <si>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</si>
  <si>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</si>
  <si>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</si>
  <si>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</si>
  <si>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</si>
  <si>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</si>
  <si>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</si>
  <si>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</si>
  <si>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</si>
  <si>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</si>
  <si>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</si>
  <si>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</si>
  <si>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</si>
  <si>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</si>
  <si>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</si>
  <si>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</si>
  <si>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</si>
  <si>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</si>
  <si>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</si>
  <si>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</si>
  <si>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</si>
  <si>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</si>
  <si>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</si>
  <si>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</si>
  <si>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</si>
  <si>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</si>
  <si>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</si>
  <si>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</si>
  <si>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</si>
  <si>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</si>
  <si>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</si>
  <si>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</si>
  <si>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</si>
  <si>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</si>
  <si>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</si>
  <si>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</si>
  <si>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</si>
  <si>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</si>
  <si>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</si>
  <si>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</si>
  <si>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</si>
  <si>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</si>
  <si>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</si>
  <si>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</si>
  <si>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</si>
  <si>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</si>
  <si>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</si>
  <si>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</si>
  <si>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</si>
  <si>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</si>
  <si>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</si>
  <si>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</si>
  <si>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</si>
  <si>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</si>
  <si>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</si>
  <si>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</si>
  <si>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</si>
  <si>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</si>
  <si>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</si>
  <si>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</si>
  <si>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</si>
  <si>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</si>
  <si>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</si>
  <si>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</si>
  <si>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</si>
  <si>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</si>
  <si>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</si>
  <si>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</si>
  <si>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</si>
  <si>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</si>
  <si>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</si>
  <si>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</si>
  <si>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</si>
  <si>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</si>
  <si>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</si>
  <si>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</si>
  <si>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</si>
  <si>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</si>
  <si>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</si>
  <si>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</si>
  <si>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</si>
  <si>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</si>
  <si>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</si>
  <si>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</si>
  <si>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</si>
  <si>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</si>
  <si>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</si>
  <si>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</si>
  <si>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</si>
  <si>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</si>
  <si>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</si>
  <si>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</si>
  <si>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</si>
  <si>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</si>
  <si>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</si>
  <si>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</si>
  <si>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</si>
  <si>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</si>
  <si>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</si>
  <si>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</si>
  <si>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</si>
  <si>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</si>
  <si>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</si>
  <si>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</si>
  <si>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</si>
  <si>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</si>
  <si>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</si>
  <si>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</si>
  <si>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</si>
  <si>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</si>
  <si>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</si>
  <si>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</si>
  <si>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</si>
  <si>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</si>
  <si>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</si>
  <si>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</si>
  <si>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</si>
  <si>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</si>
  <si>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</si>
  <si>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</si>
  <si>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</si>
  <si>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</si>
  <si>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</si>
  <si>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</si>
  <si>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</si>
  <si>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</si>
  <si>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</si>
  <si>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</si>
  <si>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</si>
  <si>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</si>
  <si>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</si>
  <si>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</si>
  <si>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</si>
  <si>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</si>
  <si>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</si>
  <si>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</si>
  <si>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</si>
  <si>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</si>
  <si>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</si>
  <si>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</si>
  <si>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</si>
  <si>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</si>
  <si>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</si>
  <si>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</si>
  <si>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</si>
  <si>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</si>
  <si>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</si>
  <si>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</si>
  <si>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</si>
  <si>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</si>
  <si>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</si>
  <si>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</si>
  <si>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</si>
  <si>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</si>
  <si>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</si>
  <si>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</si>
  <si>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</si>
  <si>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</si>
  <si>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</si>
  <si>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</si>
  <si>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</si>
  <si>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</si>
  <si>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</si>
  <si>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</si>
  <si>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</si>
  <si>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</si>
  <si>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</si>
  <si>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</si>
  <si>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</si>
  <si>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</si>
  <si>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</si>
  <si>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</si>
  <si>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</si>
  <si>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</si>
  <si>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</si>
  <si>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</si>
  <si>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</si>
  <si>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</si>
  <si>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</si>
  <si>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</si>
  <si>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</si>
  <si>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</si>
  <si>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</si>
  <si>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</si>
  <si>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</si>
  <si>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</si>
  <si>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</si>
  <si>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</si>
  <si>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</si>
  <si>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</si>
  <si>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</si>
  <si>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</si>
  <si>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</si>
  <si>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</si>
  <si>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</si>
  <si>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</si>
  <si>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</si>
  <si>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</si>
  <si>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</si>
  <si>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</si>
  <si>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</si>
  <si>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</si>
  <si>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</si>
  <si>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</si>
  <si>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</si>
  <si>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</si>
  <si>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</si>
  <si>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</si>
  <si>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</si>
  <si>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</si>
  <si>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</si>
  <si>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</si>
  <si>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</si>
  <si>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</si>
  <si>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</si>
  <si>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</si>
  <si>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</si>
  <si>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</si>
  <si>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</si>
  <si>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</si>
  <si>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</si>
  <si>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</si>
  <si>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</si>
  <si>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</si>
  <si>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</si>
  <si>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</si>
  <si>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</si>
  <si>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</si>
  <si>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</si>
  <si>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</si>
  <si>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</si>
  <si>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</si>
  <si>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</si>
  <si>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</si>
  <si>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</si>
  <si>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</si>
  <si>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</si>
  <si>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</si>
  <si>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</si>
  <si>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</si>
  <si>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</si>
  <si>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</si>
  <si>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</si>
  <si>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</si>
  <si>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</si>
  <si>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</si>
  <si>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</si>
  <si>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</si>
  <si>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</si>
  <si>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</si>
  <si>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</si>
  <si>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</si>
  <si>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</si>
  <si>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</si>
  <si>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</si>
  <si>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</si>
  <si>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</si>
  <si>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</si>
  <si>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</si>
  <si>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</si>
  <si>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</si>
  <si>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</si>
  <si>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</si>
  <si>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</si>
  <si>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</si>
  <si>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</si>
  <si>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</si>
  <si>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</si>
  <si>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</si>
  <si>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</si>
  <si>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</si>
  <si>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</si>
  <si>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</si>
  <si>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</si>
  <si>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</si>
  <si>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</si>
  <si>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</si>
  <si>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</si>
  <si>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</si>
  <si>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</si>
  <si>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</si>
  <si>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</si>
  <si>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</si>
  <si>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</si>
  <si>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</si>
  <si>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</si>
  <si>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</si>
  <si>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</si>
  <si>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</si>
  <si>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</si>
  <si>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</si>
  <si>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</si>
  <si>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</si>
  <si>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</si>
  <si>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</si>
  <si>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</si>
  <si>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</si>
  <si>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</si>
  <si>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</si>
  <si>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</si>
  <si>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</si>
  <si>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</si>
  <si>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</si>
  <si>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</si>
  <si>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</si>
  <si>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</si>
  <si>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</si>
  <si>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</si>
  <si>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</si>
  <si>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</si>
  <si>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</si>
  <si>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</si>
  <si>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</si>
  <si>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</si>
  <si>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</si>
  <si>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</si>
  <si>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</si>
  <si>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</si>
  <si>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</si>
  <si>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</si>
  <si>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</si>
  <si>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</si>
  <si>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</si>
  <si>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</si>
  <si>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</si>
  <si>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</si>
  <si>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</si>
  <si>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</si>
  <si>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</si>
  <si>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</si>
  <si>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</si>
  <si>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</si>
  <si>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</si>
  <si>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</si>
  <si>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</si>
  <si>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</si>
  <si>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</si>
  <si>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</si>
  <si>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</si>
  <si>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</si>
  <si>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</si>
  <si>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</si>
  <si>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</si>
  <si>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</si>
  <si>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</si>
  <si>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</si>
  <si>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</si>
  <si>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</si>
  <si>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</si>
  <si>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</si>
  <si>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</si>
  <si>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</si>
  <si>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</si>
  <si>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</si>
  <si>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</si>
  <si>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</si>
  <si>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</si>
  <si>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</si>
  <si>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</si>
  <si>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</si>
  <si>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</si>
  <si>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</si>
  <si>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</si>
  <si>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</si>
  <si>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</si>
  <si>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</si>
  <si>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</si>
  <si>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</si>
  <si>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</si>
  <si>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</si>
  <si>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</si>
  <si>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</si>
  <si>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</si>
  <si>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</si>
  <si>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</si>
  <si>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</si>
  <si>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</si>
  <si>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</si>
  <si>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</si>
  <si>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</si>
  <si>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</si>
  <si>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</si>
  <si>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</si>
  <si>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</si>
  <si>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</si>
  <si>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</si>
  <si>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</si>
  <si>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</si>
  <si>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</si>
  <si>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</si>
  <si>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</si>
  <si>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</si>
  <si>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</si>
  <si>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</si>
  <si>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</si>
  <si>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</si>
  <si>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</si>
  <si>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</si>
  <si>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</si>
  <si>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</si>
  <si>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</si>
  <si>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</si>
  <si>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</si>
  <si>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</si>
  <si>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</si>
  <si>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</si>
  <si>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</si>
  <si>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</si>
  <si>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</si>
  <si>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</si>
  <si>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</si>
  <si>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</si>
  <si>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</si>
  <si>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</si>
  <si>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</si>
  <si>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</si>
  <si>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</si>
  <si>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</si>
  <si>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</si>
  <si>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</si>
  <si>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</si>
  <si>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</si>
  <si>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</si>
  <si>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</si>
  <si>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</si>
  <si>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</si>
  <si>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</si>
  <si>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</si>
  <si>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</si>
  <si>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</si>
  <si>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</si>
  <si>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</si>
  <si>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</si>
  <si>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</si>
  <si>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</si>
  <si>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</si>
  <si>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</si>
  <si>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</si>
  <si>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</si>
  <si>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</si>
  <si>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</si>
  <si>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</si>
  <si>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</si>
  <si>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</si>
  <si>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</si>
  <si>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</si>
  <si>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</si>
  <si>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</si>
  <si>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</si>
  <si>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</si>
  <si>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</si>
  <si>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</si>
  <si>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</si>
  <si>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</si>
  <si>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</si>
  <si>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</si>
  <si>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</si>
  <si>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</si>
  <si>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</si>
  <si>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</si>
  <si>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</si>
  <si>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</si>
  <si>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</si>
  <si>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</si>
  <si>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</si>
  <si>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</si>
  <si>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</si>
  <si>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</si>
  <si>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</si>
  <si>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</si>
  <si>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</si>
  <si>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</si>
  <si>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</si>
  <si>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</si>
  <si>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</si>
  <si>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</si>
  <si>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</si>
  <si>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</si>
  <si>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</si>
  <si>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</si>
  <si>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</si>
  <si>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</si>
  <si>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</si>
  <si>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</si>
  <si>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</si>
  <si>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</si>
  <si>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</si>
  <si>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</si>
  <si>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</si>
  <si>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</si>
  <si>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</si>
  <si>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</si>
  <si>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</si>
  <si>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</si>
  <si>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</si>
  <si>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</si>
  <si>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</si>
  <si>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</si>
  <si>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</si>
  <si>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</si>
  <si>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</si>
  <si>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</si>
  <si>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</si>
  <si>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</si>
  <si>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</si>
  <si>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</si>
  <si>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</si>
  <si>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</si>
  <si>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</si>
  <si>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</si>
  <si>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</si>
  <si>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</si>
  <si>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</si>
  <si>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</si>
  <si>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</si>
  <si>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</si>
  <si>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</si>
  <si>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</si>
  <si>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</si>
  <si>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</si>
  <si>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</si>
  <si>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</si>
  <si>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</si>
  <si>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</si>
  <si>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</si>
  <si>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</si>
  <si>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</si>
  <si>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</si>
  <si>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</si>
  <si>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</si>
  <si>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</si>
  <si>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</si>
  <si>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</si>
  <si>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</si>
  <si>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</si>
  <si>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</si>
  <si>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</si>
  <si>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</si>
  <si>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</si>
  <si>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</si>
  <si>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</si>
  <si>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</si>
  <si>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</si>
  <si>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</si>
  <si>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</si>
  <si>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</si>
  <si>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</si>
  <si>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</si>
  <si>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</si>
  <si>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</si>
  <si>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</si>
  <si>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</si>
  <si>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</si>
  <si>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</si>
  <si>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</si>
  <si>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</si>
  <si>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</si>
  <si>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</si>
  <si>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</si>
  <si>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</si>
  <si>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</si>
  <si>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</si>
  <si>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</si>
  <si>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</si>
  <si>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</si>
  <si>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</si>
  <si>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</si>
  <si>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</si>
  <si>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</si>
  <si>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</si>
  <si>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</si>
  <si>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</si>
  <si>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</si>
  <si>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</si>
  <si>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</si>
  <si>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</si>
  <si>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</si>
  <si>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</si>
  <si>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</si>
  <si>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</si>
  <si>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</si>
  <si>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</si>
  <si>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</si>
  <si>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</si>
  <si>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</si>
  <si>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</si>
  <si>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</si>
  <si>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</si>
  <si>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</si>
  <si>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</si>
  <si>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</si>
  <si>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</si>
  <si>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</si>
  <si>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</si>
  <si>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</si>
  <si>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</si>
  <si>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</si>
  <si>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</si>
  <si>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</si>
  <si>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</si>
  <si>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</si>
  <si>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</si>
  <si>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</si>
  <si>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</si>
  <si>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</si>
  <si>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</si>
  <si>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</si>
  <si>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</si>
  <si>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</si>
  <si>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</si>
  <si>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</si>
  <si>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</si>
  <si>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</si>
  <si>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</si>
  <si>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</si>
  <si>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</si>
  <si>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</si>
  <si>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</si>
  <si>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</si>
  <si>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</si>
  <si>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</si>
  <si>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</si>
  <si>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</si>
  <si>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</si>
  <si>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</si>
  <si>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</si>
  <si>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</si>
  <si>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</si>
  <si>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</si>
  <si>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</si>
  <si>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</si>
  <si>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</si>
  <si>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</si>
  <si>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</si>
  <si>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</si>
  <si>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</si>
  <si>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</si>
  <si>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</si>
  <si>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</si>
  <si>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</si>
  <si>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</si>
  <si>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</si>
  <si>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</si>
  <si>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</si>
  <si>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</si>
  <si>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</si>
  <si>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</si>
  <si>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</si>
  <si>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</si>
  <si>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</si>
  <si>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</si>
  <si>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</si>
  <si>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</si>
  <si>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</si>
  <si>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</si>
  <si>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</si>
  <si>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</si>
  <si>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</si>
  <si>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</si>
  <si>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</si>
  <si>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</si>
  <si>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</si>
  <si>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</si>
  <si>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</si>
  <si>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</si>
  <si>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</si>
  <si>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</si>
  <si>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</si>
  <si>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</si>
  <si>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</si>
  <si>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</si>
  <si>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</si>
  <si>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</si>
  <si>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</si>
  <si>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</si>
  <si>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</si>
  <si>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</si>
  <si>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</si>
  <si>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</si>
  <si>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</si>
  <si>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</si>
  <si>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</si>
  <si>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</si>
  <si>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</si>
  <si>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</si>
  <si>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</si>
  <si>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</si>
  <si>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</si>
  <si>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</si>
  <si>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</si>
  <si>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</si>
  <si>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</si>
  <si>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</si>
  <si>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</si>
  <si>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</si>
  <si>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</si>
  <si>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</si>
  <si>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</si>
  <si>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</si>
  <si>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</si>
  <si>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</si>
  <si>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</si>
  <si>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</si>
  <si>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</si>
  <si>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</si>
  <si>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</si>
  <si>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</si>
  <si>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</si>
  <si>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</si>
  <si>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</si>
  <si>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</si>
  <si>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</si>
  <si>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</si>
  <si>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</si>
  <si>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</si>
  <si>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</si>
  <si>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</si>
  <si>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</si>
  <si>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</si>
  <si>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</si>
  <si>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</si>
  <si>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</si>
  <si>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</si>
  <si>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</si>
  <si>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</si>
  <si>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</si>
  <si>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</si>
  <si>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</si>
  <si>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</si>
  <si>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</si>
  <si>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</si>
  <si>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</si>
  <si>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</si>
  <si>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</si>
  <si>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</si>
  <si>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</si>
  <si>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</si>
  <si>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</si>
  <si>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</si>
  <si>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</si>
  <si>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</si>
  <si>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</si>
  <si>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</si>
  <si>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</si>
  <si>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</si>
  <si>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</si>
  <si>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</si>
  <si>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</si>
  <si>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</si>
  <si>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</si>
  <si>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</si>
  <si>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</si>
  <si>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</si>
  <si>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</si>
  <si>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</si>
  <si>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</si>
  <si>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</si>
  <si>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</si>
  <si>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</si>
  <si>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</si>
  <si>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</si>
  <si>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</si>
  <si>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</si>
  <si>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</si>
  <si>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</si>
  <si>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</si>
  <si>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</si>
  <si>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</si>
  <si>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</si>
  <si>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</si>
  <si>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</si>
  <si>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</si>
  <si>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</si>
  <si>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</si>
  <si>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</si>
  <si>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</si>
  <si>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</si>
  <si>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</si>
  <si>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</si>
  <si>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</si>
  <si>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</si>
  <si>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</si>
  <si>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</si>
  <si>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</si>
  <si>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</si>
  <si>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</si>
  <si>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</si>
  <si>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</si>
  <si>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</si>
  <si>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</si>
  <si>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</si>
  <si>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</si>
  <si>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</si>
  <si>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</si>
  <si>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</si>
  <si>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</si>
  <si>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</si>
  <si>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</si>
  <si>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</si>
  <si>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</si>
  <si>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</si>
  <si>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</si>
  <si>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</si>
  <si>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</si>
  <si>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</si>
  <si>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</si>
  <si>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</si>
  <si>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</si>
  <si>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</si>
  <si>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</si>
  <si>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</si>
  <si>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</si>
  <si>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</si>
  <si>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</si>
  <si>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</si>
  <si>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</si>
  <si>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</si>
  <si>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</si>
  <si>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</si>
  <si>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</si>
  <si>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</si>
  <si>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</si>
  <si>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</si>
  <si>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</si>
  <si>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</si>
  <si>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</si>
  <si>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</si>
  <si>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</si>
  <si>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</si>
  <si>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</si>
  <si>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</si>
  <si>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</si>
  <si>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</si>
  <si>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</si>
  <si>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</si>
  <si>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</si>
  <si>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</si>
  <si>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</si>
  <si>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</si>
  <si>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</si>
  <si>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</si>
  <si>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</si>
  <si>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</si>
  <si>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</si>
  <si>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</si>
  <si>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</si>
  <si>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</si>
  <si>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</si>
  <si>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</si>
  <si>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</si>
  <si>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</si>
  <si>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</si>
  <si>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</si>
  <si>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</si>
  <si>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</si>
  <si>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</si>
  <si>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</si>
  <si>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</si>
  <si>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</si>
  <si>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</si>
  <si>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</si>
  <si>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</si>
  <si>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</si>
  <si>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</si>
  <si>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</si>
  <si>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</si>
  <si>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</si>
  <si>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</si>
  <si>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</si>
  <si>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</si>
  <si>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</si>
  <si>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</si>
  <si>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</si>
  <si>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</si>
  <si>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</si>
  <si>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</si>
  <si>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</si>
  <si>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</si>
  <si>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</si>
  <si>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</si>
  <si>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</si>
  <si>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</si>
  <si>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</si>
  <si>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</si>
  <si>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</si>
  <si>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</si>
  <si>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</si>
  <si>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</si>
  <si>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</si>
  <si>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</si>
  <si>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</si>
  <si>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</si>
  <si>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</si>
  <si>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</si>
  <si>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</si>
  <si>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</si>
  <si>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</si>
  <si>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</si>
  <si>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</si>
  <si>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</si>
  <si>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</si>
  <si>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</si>
  <si>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</si>
  <si>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</si>
  <si>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</si>
  <si>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</si>
  <si>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</si>
  <si>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</si>
  <si>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</si>
  <si>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</si>
  <si>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</si>
  <si>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</si>
  <si>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</si>
  <si>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</si>
  <si>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</si>
  <si>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</si>
  <si>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</si>
  <si>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</si>
  <si>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</si>
  <si>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</si>
  <si>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</si>
  <si>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</si>
  <si>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</si>
  <si>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</si>
  <si>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</si>
  <si>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</si>
  <si>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</si>
  <si>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</si>
  <si>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</si>
  <si>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</si>
  <si>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</si>
  <si>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</si>
  <si>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</si>
  <si>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</si>
  <si>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</si>
  <si>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</si>
  <si>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</si>
  <si>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</si>
  <si>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</si>
  <si>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</si>
  <si>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</si>
  <si>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</si>
  <si>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</si>
  <si>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</si>
  <si>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</si>
  <si>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</si>
  <si>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</si>
  <si>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</si>
  <si>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</si>
  <si>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</si>
  <si>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</si>
  <si>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</si>
  <si>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</si>
  <si>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</si>
  <si>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</si>
  <si>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</si>
  <si>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</si>
  <si>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</si>
  <si>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</si>
  <si>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</si>
  <si>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</si>
  <si>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</si>
  <si>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</si>
  <si>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</si>
  <si>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</si>
  <si>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</si>
  <si>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</si>
  <si>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</si>
  <si>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</si>
  <si>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</si>
  <si>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</si>
  <si>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</si>
  <si>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</si>
  <si>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</si>
  <si>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</si>
  <si>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</si>
  <si>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</si>
  <si>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</si>
  <si>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</si>
  <si>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</si>
  <si>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</si>
  <si>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</si>
  <si>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</si>
  <si>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</si>
  <si>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</si>
  <si>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</si>
  <si>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</si>
  <si>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</si>
  <si>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</si>
  <si>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</si>
  <si>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</si>
  <si>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</si>
  <si>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</si>
  <si>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</si>
  <si>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</si>
  <si>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</si>
  <si>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</si>
  <si>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</si>
  <si>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</si>
  <si>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</si>
  <si>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</si>
  <si>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</si>
  <si>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</si>
  <si>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</si>
  <si>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</si>
  <si>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</si>
  <si>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</si>
  <si>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</si>
  <si>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</si>
  <si>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</si>
  <si>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</si>
  <si>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</si>
  <si>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</si>
  <si>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</si>
  <si>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</si>
  <si>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</si>
  <si>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</si>
  <si>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</si>
  <si>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</si>
  <si>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</si>
  <si>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</si>
  <si>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</si>
  <si>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</si>
  <si>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</si>
  <si>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</si>
  <si>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</si>
  <si>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</si>
  <si>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</si>
  <si>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</si>
  <si>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</si>
  <si>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</si>
  <si>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</si>
  <si>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</si>
  <si>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</si>
  <si>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</si>
  <si>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</si>
  <si>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</si>
  <si>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</si>
  <si>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</si>
  <si>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</si>
  <si>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</si>
  <si>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</si>
  <si>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</si>
  <si>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</si>
  <si>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</si>
  <si>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</si>
  <si>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</si>
  <si>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</si>
  <si>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</si>
  <si>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</si>
  <si>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</si>
  <si>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</si>
  <si>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</si>
  <si>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</si>
  <si>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</si>
  <si>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</si>
  <si>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</si>
  <si>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</si>
  <si>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</si>
  <si>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</si>
  <si>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</si>
  <si>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</si>
  <si>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</si>
  <si>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</si>
  <si>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</si>
  <si>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</si>
  <si>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</si>
  <si>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</si>
  <si>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</si>
  <si>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</si>
  <si>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</si>
  <si>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</si>
  <si>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</si>
  <si>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</si>
  <si>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</si>
  <si>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</si>
  <si>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</si>
  <si>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</si>
  <si>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</si>
  <si>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</si>
  <si>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</si>
  <si>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</si>
  <si>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</si>
  <si>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</si>
  <si>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</si>
  <si>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</si>
  <si>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</si>
  <si>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</si>
  <si>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</si>
  <si>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</si>
  <si>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</si>
  <si>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</si>
  <si>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</si>
  <si>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</si>
  <si>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</si>
  <si>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</si>
  <si>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</si>
  <si>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</si>
  <si>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</si>
  <si>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</si>
  <si>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</si>
  <si>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</si>
  <si>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</si>
  <si>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</si>
  <si>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</si>
  <si>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</si>
  <si>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</si>
  <si>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</si>
  <si>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</si>
  <si>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</si>
  <si>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</si>
  <si>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</si>
  <si>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</si>
  <si>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</si>
  <si>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</si>
  <si>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</si>
  <si>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</si>
  <si>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</si>
  <si>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</si>
  <si>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</si>
  <si>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</si>
  <si>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</si>
  <si>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</si>
  <si>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</si>
  <si>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</si>
  <si>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</si>
  <si>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</si>
  <si>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</si>
  <si>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</si>
  <si>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</si>
  <si>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</si>
  <si>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</si>
  <si>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</si>
  <si>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</si>
  <si>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</si>
  <si>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</si>
  <si>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</si>
  <si>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</si>
  <si>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</si>
  <si>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</si>
  <si>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</si>
  <si>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</si>
  <si>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</si>
  <si>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</si>
  <si>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</si>
  <si>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</si>
  <si>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</si>
  <si>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</si>
  <si>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</si>
  <si>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</si>
  <si>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</si>
  <si>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</si>
  <si>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</si>
  <si>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</si>
  <si>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</si>
  <si>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</si>
  <si>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</si>
  <si>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</si>
  <si>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</si>
  <si>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</si>
  <si>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</si>
  <si>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</si>
  <si>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</si>
  <si>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</si>
  <si>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</si>
  <si>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</si>
  <si>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</si>
  <si>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</si>
  <si>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</si>
  <si>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</si>
  <si>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</si>
  <si>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</si>
  <si>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</si>
  <si>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</si>
  <si>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</si>
  <si>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</si>
  <si>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</si>
  <si>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</si>
  <si>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</si>
  <si>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</si>
  <si>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</si>
  <si>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</si>
  <si>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</si>
  <si>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</si>
  <si>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</si>
  <si>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</si>
  <si>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</si>
  <si>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</si>
  <si>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</si>
  <si>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</si>
  <si>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</si>
  <si>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</si>
  <si>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</si>
  <si>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</si>
  <si>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</si>
  <si>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</si>
  <si>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</si>
  <si>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</si>
  <si>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</si>
  <si>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</si>
  <si>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</si>
  <si>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</si>
  <si>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</si>
  <si>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</si>
  <si>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</si>
  <si>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</si>
  <si>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</si>
  <si>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</si>
  <si>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</si>
  <si>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</si>
  <si>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</si>
  <si>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</si>
  <si>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</si>
  <si>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</si>
  <si>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</si>
  <si>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</si>
  <si>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</si>
  <si>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</si>
  <si>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</si>
  <si>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</si>
  <si>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</si>
  <si>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</si>
  <si>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</si>
  <si>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</si>
  <si>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</si>
  <si>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</si>
  <si>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</si>
  <si>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</si>
  <si>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</si>
  <si>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</si>
  <si>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</si>
  <si>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</si>
  <si>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</si>
  <si>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</si>
  <si>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</si>
  <si>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</si>
  <si>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</si>
  <si>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</si>
  <si>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</si>
  <si>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</si>
  <si>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</si>
  <si>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</si>
  <si>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</si>
  <si>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</si>
  <si>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</si>
  <si>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</si>
  <si>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</si>
  <si>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</si>
  <si>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</si>
  <si>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</si>
  <si>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</si>
  <si>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</si>
  <si>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</si>
  <si>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</si>
  <si>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</si>
  <si>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</si>
  <si>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</si>
  <si>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</si>
  <si>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</si>
  <si>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</si>
  <si>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</si>
  <si>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</si>
  <si>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</si>
  <si>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</si>
  <si>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</si>
  <si>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</si>
  <si>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</si>
  <si>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</si>
  <si>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</si>
  <si>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</si>
  <si>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</si>
  <si>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</si>
  <si>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</si>
  <si>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</si>
  <si>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</si>
  <si>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</si>
  <si>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</si>
  <si>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</si>
  <si>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</si>
  <si>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</si>
  <si>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</si>
  <si>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</si>
  <si>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</si>
  <si>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</si>
  <si>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</si>
  <si>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</si>
  <si>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</si>
  <si>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</si>
  <si>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</si>
  <si>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</si>
  <si>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</si>
  <si>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</si>
  <si>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</si>
  <si>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</si>
  <si>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</si>
  <si>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</si>
  <si>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</si>
  <si>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</si>
  <si>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</si>
  <si>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</si>
  <si>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</si>
  <si>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</si>
  <si>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</si>
  <si>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</si>
  <si>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</si>
  <si>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</si>
  <si>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</si>
  <si>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</si>
  <si>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</si>
  <si>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</si>
  <si>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</si>
  <si>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</si>
  <si>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</si>
  <si>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</si>
  <si>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</si>
  <si>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</si>
  <si>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</si>
  <si>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</si>
  <si>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</si>
  <si>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</si>
  <si>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</si>
  <si>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</si>
  <si>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</si>
  <si>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</si>
  <si>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</si>
  <si>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</si>
  <si>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</si>
  <si>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</si>
  <si>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</si>
  <si>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</si>
  <si>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</si>
  <si>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</si>
  <si>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</si>
  <si>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</si>
  <si>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</si>
  <si>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</si>
  <si>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</si>
  <si>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</si>
  <si>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</si>
  <si>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</si>
  <si>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</si>
  <si>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</si>
  <si>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</si>
  <si>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</si>
  <si>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</si>
  <si>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</si>
  <si>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</si>
  <si>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</si>
  <si>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</si>
  <si>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</si>
  <si>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</si>
  <si>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</si>
  <si>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</si>
  <si>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</si>
  <si>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</si>
  <si>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</si>
  <si>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</si>
  <si>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</si>
  <si>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</si>
  <si>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</si>
  <si>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</si>
  <si>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</si>
  <si>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</si>
  <si>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</si>
  <si>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</si>
  <si>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</si>
  <si>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</si>
  <si>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</si>
  <si>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</si>
  <si>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</si>
  <si>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</si>
  <si>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</si>
  <si>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</si>
  <si>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</si>
  <si>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</si>
  <si>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</si>
  <si>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</si>
  <si>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</si>
  <si>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</si>
  <si>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</si>
  <si>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</si>
  <si>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</si>
  <si>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</si>
  <si>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</si>
  <si>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</si>
  <si>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</si>
  <si>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</si>
  <si>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</si>
  <si>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</si>
  <si>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</si>
  <si>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</si>
  <si>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</si>
  <si>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</si>
  <si>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</si>
  <si>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</si>
  <si>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</si>
  <si>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</si>
  <si>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</si>
  <si>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</si>
  <si>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</si>
  <si>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</si>
  <si>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</si>
  <si>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</si>
  <si>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</si>
  <si>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</si>
  <si>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</si>
  <si>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</si>
  <si>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</si>
  <si>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</si>
  <si>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</si>
  <si>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</si>
  <si>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</si>
  <si>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</si>
  <si>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</si>
  <si>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</si>
  <si>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</si>
  <si>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</si>
  <si>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</si>
  <si>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</si>
  <si>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</si>
  <si>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</si>
  <si>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</si>
  <si>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</si>
  <si>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</si>
  <si>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</si>
  <si>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</si>
  <si>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</si>
  <si>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</si>
  <si>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</si>
  <si>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</si>
  <si>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</si>
  <si>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</si>
  <si>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</si>
  <si>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</si>
  <si>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</si>
  <si>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</si>
  <si>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</si>
  <si>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</si>
  <si>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</si>
  <si>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</si>
  <si>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</si>
  <si>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</si>
  <si>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</si>
  <si>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</si>
  <si>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</si>
  <si>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</si>
  <si>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</si>
  <si>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</si>
  <si>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</si>
  <si>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</si>
  <si>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</si>
  <si>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</si>
  <si>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</si>
  <si>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</si>
  <si>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</si>
  <si>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</si>
  <si>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</si>
  <si>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</si>
  <si>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</si>
  <si>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</si>
  <si>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</si>
  <si>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</si>
  <si>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</si>
  <si>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</si>
  <si>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</si>
  <si>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</si>
  <si>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</si>
  <si>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</si>
  <si>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</si>
  <si>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</si>
  <si>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</si>
  <si>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</si>
  <si>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</si>
  <si>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</si>
  <si>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</si>
  <si>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</si>
  <si>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</si>
  <si>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</si>
  <si>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</si>
  <si>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</si>
  <si>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</si>
  <si>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</si>
  <si>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</si>
  <si>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</si>
  <si>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</si>
  <si>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</si>
  <si>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</si>
  <si>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</si>
  <si>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</si>
  <si>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</si>
  <si>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</si>
  <si>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</si>
  <si>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</si>
  <si>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</si>
  <si>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</si>
  <si>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</si>
  <si>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</si>
  <si>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</si>
  <si>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</si>
  <si>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</si>
  <si>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</si>
  <si>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</si>
  <si>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</si>
  <si>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</si>
  <si>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</si>
  <si>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</si>
  <si>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</si>
  <si>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</si>
  <si>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</si>
  <si>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</si>
  <si>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</si>
  <si>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</si>
  <si>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</si>
  <si>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</si>
  <si>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</si>
  <si>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</si>
  <si>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</si>
  <si>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</si>
  <si>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</si>
  <si>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</si>
  <si>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</si>
  <si>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</si>
  <si>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</si>
  <si>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</si>
  <si>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</si>
  <si>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</si>
  <si>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</si>
  <si>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</si>
  <si>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</si>
  <si>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</si>
  <si>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</si>
  <si>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</si>
  <si>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</si>
  <si>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</si>
  <si>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</si>
  <si>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</si>
  <si>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</si>
  <si>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</si>
  <si>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</si>
  <si>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</si>
  <si>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</si>
  <si>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</si>
  <si>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</si>
  <si>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</si>
  <si>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</si>
  <si>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</si>
  <si>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</si>
  <si>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</si>
  <si>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</si>
  <si>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</si>
  <si>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</si>
  <si>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</si>
  <si>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</si>
  <si>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</si>
  <si>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</si>
  <si>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</si>
  <si>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</si>
  <si>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</si>
  <si>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</si>
  <si>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</si>
  <si>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</si>
  <si>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</si>
  <si>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</si>
  <si>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</si>
  <si>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</si>
  <si>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</si>
  <si>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</si>
  <si>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</si>
  <si>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</si>
  <si>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</si>
  <si>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</si>
  <si>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</si>
  <si>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</si>
  <si>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</si>
  <si>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</si>
  <si>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</si>
  <si>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</si>
  <si>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</si>
  <si>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</si>
  <si>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</si>
  <si>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</si>
  <si>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</si>
  <si>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</si>
  <si>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</si>
  <si>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</si>
  <si>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</si>
  <si>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</si>
  <si>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</si>
  <si>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</si>
  <si>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</si>
  <si>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</si>
  <si>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</si>
  <si>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</si>
  <si>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</si>
  <si>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</si>
  <si>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</si>
  <si>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</si>
  <si>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</si>
  <si>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</si>
  <si>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</si>
  <si>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</si>
  <si>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</si>
  <si>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</si>
  <si>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</si>
  <si>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</si>
  <si>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</si>
  <si>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</si>
  <si>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</si>
  <si>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</si>
  <si>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</si>
  <si>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</si>
  <si>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</si>
  <si>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</si>
  <si>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</si>
  <si>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</si>
  <si>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</si>
  <si>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</si>
  <si>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</si>
  <si>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</si>
  <si>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</si>
  <si>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</si>
  <si>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</si>
  <si>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</si>
  <si>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</si>
  <si>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</si>
  <si>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</si>
  <si>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</si>
  <si>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</si>
  <si>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</si>
  <si>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</si>
  <si>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</si>
  <si>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</si>
  <si>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</si>
  <si>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</si>
  <si>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</si>
  <si>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</si>
  <si>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</si>
  <si>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</si>
  <si>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</si>
  <si>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</si>
  <si>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</si>
  <si>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</si>
  <si>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</si>
  <si>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</si>
  <si>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</si>
  <si>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</si>
  <si>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</si>
  <si>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</si>
  <si>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</si>
  <si>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</si>
  <si>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</si>
  <si>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</si>
  <si>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</si>
  <si>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</si>
  <si>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</si>
  <si>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</si>
  <si>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</si>
  <si>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</si>
  <si>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</si>
  <si>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</si>
  <si>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</si>
  <si>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</si>
  <si>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</si>
  <si>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</si>
  <si>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</si>
  <si>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</si>
  <si>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</si>
  <si>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</si>
  <si>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</si>
  <si>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</si>
  <si>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</si>
  <si>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</si>
  <si>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</si>
  <si>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</si>
  <si>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</si>
  <si>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</si>
  <si>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</si>
  <si>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</si>
  <si>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</si>
  <si>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</si>
  <si>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</si>
  <si>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</si>
  <si>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</si>
  <si>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</si>
  <si>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</si>
  <si>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</si>
  <si>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</si>
  <si>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</si>
  <si>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</si>
  <si>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</si>
  <si>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</si>
  <si>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</si>
  <si>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</si>
  <si>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</si>
  <si>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</si>
  <si>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</si>
  <si>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</si>
  <si>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</si>
  <si>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</si>
  <si>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</si>
  <si>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</si>
  <si>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</si>
  <si>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</si>
  <si>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</si>
  <si>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</si>
  <si>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</si>
  <si>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</si>
  <si>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</si>
  <si>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</si>
  <si>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</si>
  <si>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</si>
  <si>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</si>
  <si>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</si>
  <si>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</si>
  <si>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</si>
  <si>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</si>
  <si>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</si>
  <si>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</si>
  <si>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</si>
  <si>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</si>
  <si>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</si>
  <si>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</si>
  <si>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</si>
  <si>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</si>
  <si>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</si>
  <si>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</si>
  <si>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</si>
  <si>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</si>
  <si>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</si>
  <si>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</si>
  <si>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</si>
  <si>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</si>
  <si>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</si>
  <si>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</si>
  <si>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</si>
  <si>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</si>
  <si>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</si>
  <si>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</si>
  <si>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</si>
  <si>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</si>
  <si>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</si>
  <si>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</si>
  <si>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</si>
  <si>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</si>
  <si>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</si>
  <si>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</si>
  <si>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</si>
  <si>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</si>
  <si>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</si>
  <si>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</si>
  <si>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</si>
  <si>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</si>
  <si>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</si>
  <si>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</si>
  <si>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</si>
  <si>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</si>
  <si>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</si>
  <si>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</si>
  <si>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</si>
  <si>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</si>
  <si>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</si>
  <si>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</si>
  <si>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</si>
  <si>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</si>
  <si>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</si>
  <si>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</si>
  <si>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</si>
  <si>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</si>
  <si>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</si>
  <si>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</si>
  <si>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</si>
  <si>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</si>
  <si>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</si>
  <si>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</si>
  <si>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</si>
  <si>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</si>
  <si>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</si>
  <si>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</si>
  <si>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</si>
  <si>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</si>
  <si>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</si>
  <si>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</si>
  <si>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</si>
  <si>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</si>
  <si>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</si>
  <si>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</si>
  <si>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</si>
  <si>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</si>
  <si>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</si>
  <si>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</si>
  <si>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</si>
  <si>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</si>
  <si>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</si>
  <si>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</si>
  <si>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</si>
  <si>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</si>
  <si>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</si>
  <si>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</si>
  <si>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</si>
  <si>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</si>
  <si>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</si>
  <si>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</si>
  <si>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</si>
  <si>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</si>
  <si>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</si>
  <si>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</si>
  <si>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</si>
  <si>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</si>
  <si>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</si>
  <si>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</si>
  <si>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</si>
  <si>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</si>
  <si>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</si>
  <si>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</si>
  <si>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</si>
  <si>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</si>
  <si>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</si>
  <si>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</si>
  <si>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</si>
  <si>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</si>
  <si>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</si>
  <si>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</si>
  <si>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</si>
  <si>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</si>
  <si>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</si>
  <si>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</si>
  <si>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</si>
  <si>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</si>
  <si>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</si>
  <si>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</si>
  <si>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</si>
  <si>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</si>
  <si>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</si>
  <si>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</si>
  <si>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</si>
  <si>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</si>
  <si>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</si>
  <si>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</si>
  <si>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</si>
  <si>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</si>
  <si>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</si>
  <si>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</si>
  <si>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</si>
  <si>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</si>
  <si>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</si>
  <si>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</si>
  <si>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</si>
  <si>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</si>
  <si>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</si>
  <si>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</si>
  <si>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</si>
  <si>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</si>
  <si>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</si>
  <si>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</si>
  <si>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</si>
  <si>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</si>
  <si>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</si>
  <si>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</si>
  <si>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</si>
  <si>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</si>
  <si>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</si>
  <si>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</si>
  <si>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</si>
  <si>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</si>
  <si>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</si>
  <si>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</si>
  <si>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</si>
  <si>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</si>
  <si>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</si>
  <si>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</si>
  <si>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</si>
  <si>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</si>
  <si>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</si>
  <si>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</si>
  <si>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</si>
  <si>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</si>
  <si>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</si>
  <si>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</si>
  <si>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</si>
  <si>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</si>
  <si>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</si>
  <si>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</si>
  <si>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</si>
  <si>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</si>
  <si>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</si>
  <si>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</si>
  <si>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</si>
  <si>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</si>
  <si>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</si>
  <si>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</si>
  <si>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</si>
  <si>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</si>
  <si>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</si>
  <si>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</si>
  <si>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</si>
  <si>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</si>
  <si>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</si>
  <si>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</si>
  <si>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</si>
  <si>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</si>
  <si>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</si>
  <si>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</si>
  <si>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</si>
  <si>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</si>
  <si>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</si>
  <si>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</si>
  <si>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</si>
  <si>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</si>
  <si>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</si>
  <si>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</si>
  <si>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</si>
  <si>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</si>
  <si>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</si>
  <si>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</si>
  <si>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</si>
  <si>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</si>
  <si>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</si>
  <si>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</si>
  <si>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</si>
  <si>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</si>
  <si>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</si>
  <si>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</si>
  <si>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</si>
  <si>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</si>
  <si>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</si>
  <si>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</si>
  <si>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</si>
  <si>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</si>
  <si>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</si>
  <si>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</si>
  <si>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</si>
  <si>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</si>
  <si>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</si>
  <si>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</si>
  <si>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</si>
  <si>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</si>
  <si>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</si>
  <si>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</si>
  <si>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</si>
  <si>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</si>
  <si>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</si>
  <si>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</si>
  <si>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</si>
  <si>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</si>
  <si>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</si>
  <si>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</si>
  <si>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</si>
  <si>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</si>
  <si>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</si>
  <si>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</si>
  <si>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</si>
  <si>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</si>
  <si>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</si>
  <si>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</si>
  <si>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</si>
  <si>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</si>
  <si>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</si>
  <si>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</si>
  <si>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</si>
  <si>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</si>
  <si>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</si>
  <si>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</si>
  <si>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</si>
  <si>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</si>
  <si>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</si>
  <si>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</si>
  <si>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</si>
  <si>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</si>
  <si>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</si>
  <si>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</si>
  <si>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</si>
  <si>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</si>
  <si>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</si>
  <si>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</si>
  <si>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</si>
  <si>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</si>
  <si>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</si>
  <si>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</si>
  <si>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</si>
  <si>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</si>
  <si>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</si>
  <si>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</si>
  <si>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</si>
  <si>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</si>
  <si>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</si>
  <si>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</si>
  <si>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</si>
  <si>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</si>
  <si>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</si>
  <si>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</si>
  <si>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</si>
  <si>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</si>
  <si>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</si>
  <si>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</si>
  <si>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</si>
  <si>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</si>
  <si>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</si>
  <si>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</si>
  <si>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</si>
  <si>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</si>
  <si>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</si>
  <si>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</si>
  <si>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</si>
  <si>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</si>
  <si>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</si>
  <si>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</si>
  <si>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</si>
  <si>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</si>
  <si>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</si>
  <si>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</si>
  <si>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</si>
  <si>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</si>
  <si>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</si>
  <si>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</si>
  <si>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</si>
  <si>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</si>
  <si>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</si>
  <si>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</si>
  <si>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</si>
  <si>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</si>
  <si>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</si>
  <si>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</si>
  <si>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</si>
  <si>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</si>
  <si>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</si>
  <si>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</si>
  <si>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</si>
  <si>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</si>
  <si>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</si>
  <si>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</si>
  <si>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</si>
  <si>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</si>
  <si>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</si>
  <si>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</si>
  <si>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</si>
  <si>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</si>
  <si>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</si>
  <si>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</si>
  <si>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</si>
  <si>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</si>
  <si>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</si>
  <si>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</si>
  <si>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</si>
  <si>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</si>
  <si>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</si>
  <si>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</si>
  <si>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</si>
  <si>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</si>
  <si>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</si>
  <si>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</si>
  <si>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</si>
  <si>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</si>
  <si>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</si>
  <si>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</si>
  <si>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</si>
  <si>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</si>
  <si>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</si>
  <si>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</si>
  <si>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</si>
  <si>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</si>
  <si>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</si>
  <si>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</si>
  <si>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</si>
  <si>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</si>
  <si>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</si>
  <si>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</si>
  <si>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</si>
  <si>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</si>
  <si>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</si>
  <si>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</si>
  <si>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</si>
  <si>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</si>
  <si>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</si>
  <si>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</si>
  <si>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</si>
  <si>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</si>
  <si>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</si>
  <si>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</si>
  <si>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</si>
  <si>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</si>
  <si>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</si>
  <si>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</si>
  <si>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</si>
  <si>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</si>
  <si>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</si>
  <si>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</si>
  <si>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</si>
  <si>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</si>
  <si>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</si>
  <si>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</si>
  <si>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</si>
  <si>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</si>
  <si>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</si>
  <si>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</si>
  <si>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</si>
  <si>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</si>
  <si>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</si>
  <si>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</si>
  <si>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</si>
  <si>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</si>
  <si>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</si>
  <si>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</si>
  <si>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</si>
  <si>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</si>
  <si>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</si>
  <si>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</si>
  <si>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</si>
  <si>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</si>
  <si>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</si>
  <si>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</si>
  <si>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</si>
  <si>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</si>
  <si>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</si>
  <si>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</si>
  <si>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</si>
  <si>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</si>
  <si>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</si>
  <si>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</si>
  <si>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</si>
  <si>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</si>
  <si>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</si>
  <si>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</si>
  <si>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</si>
  <si>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</si>
  <si>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</si>
  <si>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</si>
  <si>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</si>
  <si>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</si>
  <si>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</si>
  <si>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</si>
  <si>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</si>
  <si>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</si>
  <si>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</si>
  <si>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</si>
  <si>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</si>
  <si>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</si>
  <si>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</si>
  <si>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</si>
  <si>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</si>
  <si>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</si>
  <si>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</si>
  <si>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</si>
  <si>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</si>
  <si>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</si>
  <si>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</si>
  <si>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</si>
  <si>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</si>
  <si>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</si>
  <si>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</si>
  <si>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</si>
  <si>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</si>
  <si>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</si>
  <si>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</si>
  <si>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</si>
  <si>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</si>
  <si>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</si>
  <si>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</si>
  <si>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</si>
  <si>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</si>
  <si>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</si>
  <si>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</si>
  <si>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</si>
  <si>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</si>
  <si>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</si>
  <si>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</si>
  <si>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</si>
  <si>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</si>
  <si>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</si>
  <si>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</si>
  <si>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</si>
  <si>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</si>
  <si>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</si>
  <si>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</si>
  <si>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</si>
  <si>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</si>
  <si>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</si>
  <si>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</si>
  <si>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</si>
  <si>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</si>
  <si>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</si>
  <si>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</si>
  <si>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</si>
  <si>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</si>
  <si>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</si>
  <si>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</si>
  <si>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</si>
  <si>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</si>
  <si>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</si>
  <si>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</si>
  <si>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</si>
  <si>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</si>
  <si>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</si>
  <si>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</si>
  <si>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</si>
  <si>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</si>
  <si>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</si>
  <si>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</si>
  <si>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</si>
  <si>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</si>
  <si>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</si>
  <si>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</si>
  <si>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</si>
  <si>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</si>
  <si>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</si>
  <si>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</si>
  <si>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</si>
  <si>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</si>
  <si>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</si>
  <si>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</si>
  <si>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</si>
  <si>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</si>
  <si>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</si>
  <si>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</si>
  <si>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</si>
  <si>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</si>
  <si>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</si>
  <si>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</si>
  <si>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</si>
  <si>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</si>
  <si>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</si>
  <si>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</si>
  <si>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</si>
  <si>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</si>
  <si>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</si>
  <si>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</si>
  <si>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</si>
  <si>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</si>
  <si>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</si>
  <si>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</si>
  <si>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</si>
  <si>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</si>
  <si>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</si>
  <si>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</si>
  <si>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</si>
  <si>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</si>
  <si>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</si>
  <si>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</si>
  <si>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</si>
  <si>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</si>
  <si>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</si>
  <si>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</si>
  <si>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</si>
  <si>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</si>
  <si>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</si>
  <si>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</si>
  <si>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</si>
  <si>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</si>
  <si>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</si>
  <si>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</si>
  <si>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</si>
  <si>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</si>
  <si>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</si>
  <si>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</si>
  <si>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</si>
  <si>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</si>
  <si>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</si>
  <si>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</si>
  <si>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</si>
  <si>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</si>
  <si>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</si>
  <si>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</si>
  <si>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</si>
  <si>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</si>
  <si>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</si>
  <si>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</si>
  <si>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</si>
  <si>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</si>
  <si>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</si>
  <si>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</si>
  <si>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</si>
  <si>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</si>
  <si>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</si>
  <si>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</si>
  <si>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</si>
  <si>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</si>
  <si>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</si>
  <si>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</si>
  <si>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</si>
  <si>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</si>
  <si>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</si>
  <si>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</si>
  <si>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</si>
  <si>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</si>
  <si>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</si>
  <si>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</si>
  <si>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</si>
  <si>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</si>
  <si>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</si>
  <si>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</si>
  <si>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</si>
  <si>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</si>
  <si>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</si>
  <si>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</si>
  <si>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</si>
  <si>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</si>
  <si>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</si>
  <si>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</si>
  <si>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</si>
  <si>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</si>
  <si>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</si>
  <si>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</si>
  <si>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</si>
  <si>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</si>
  <si>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</si>
  <si>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</si>
  <si>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</si>
  <si>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</si>
  <si>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</si>
  <si>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</si>
  <si>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</si>
  <si>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</si>
  <si>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</si>
  <si>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</si>
  <si>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</si>
  <si>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</si>
  <si>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</si>
  <si>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</si>
  <si>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</si>
  <si>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</si>
  <si>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</si>
  <si>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</si>
  <si>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</si>
  <si>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</si>
  <si>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</si>
  <si>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</si>
  <si>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</si>
  <si>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</si>
  <si>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</si>
  <si>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</si>
  <si>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</si>
  <si>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</si>
  <si>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</si>
  <si>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</si>
  <si>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</si>
  <si>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</si>
  <si>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</si>
  <si>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</si>
  <si>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</si>
  <si>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</si>
  <si>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</si>
  <si>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</si>
  <si>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</si>
  <si>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</si>
  <si>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</si>
  <si>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</si>
  <si>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</si>
  <si>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</si>
  <si>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</si>
  <si>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</si>
  <si>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</si>
  <si>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</si>
  <si>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</si>
  <si>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</si>
  <si>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</si>
  <si>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</si>
  <si>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</si>
  <si>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</si>
  <si>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</si>
  <si>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</si>
  <si>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</si>
  <si>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</si>
  <si>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</si>
  <si>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</si>
  <si>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</si>
  <si>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</si>
  <si>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</si>
  <si>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</si>
  <si>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</si>
  <si>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</si>
  <si>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</si>
  <si>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</si>
  <si>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</si>
  <si>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</si>
  <si>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</si>
  <si>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</si>
  <si>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</si>
  <si>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</si>
  <si>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</si>
  <si>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</si>
  <si>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</si>
  <si>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</si>
  <si>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</si>
  <si>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</si>
  <si>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</si>
  <si>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</si>
  <si>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</si>
  <si>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</si>
  <si>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</si>
  <si>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</si>
  <si>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</si>
  <si>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</si>
  <si>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</si>
  <si>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</si>
  <si>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</si>
  <si>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</si>
  <si>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</si>
  <si>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</si>
  <si>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</si>
  <si>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</si>
  <si>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</si>
  <si>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</si>
  <si>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</si>
  <si>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</si>
  <si>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</si>
  <si>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</si>
  <si>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</si>
  <si>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</si>
  <si>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</si>
  <si>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</si>
  <si>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</si>
  <si>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</si>
  <si>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</si>
  <si>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</si>
  <si>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</si>
  <si>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</si>
  <si>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</si>
  <si>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</si>
  <si>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</si>
  <si>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</si>
  <si>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</si>
  <si>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</si>
  <si>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</si>
  <si>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</si>
  <si>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</si>
  <si>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</si>
  <si>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</si>
  <si>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</si>
  <si>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</si>
  <si>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</si>
  <si>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</si>
  <si>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</si>
  <si>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</si>
  <si>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</si>
  <si>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</si>
  <si>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</si>
  <si>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</si>
  <si>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</si>
  <si>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</si>
  <si>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</si>
  <si>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</si>
  <si>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</si>
  <si>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</si>
  <si>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</si>
  <si>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</si>
  <si>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</si>
  <si>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</si>
  <si>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</si>
  <si>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</si>
  <si>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</si>
  <si>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</si>
  <si>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</si>
  <si>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</si>
  <si>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</si>
  <si>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</si>
  <si>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</si>
  <si>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</si>
  <si>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</si>
  <si>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</si>
  <si>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</si>
  <si>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</si>
  <si>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</si>
  <si>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</si>
  <si>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</si>
  <si>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</si>
  <si>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</si>
  <si>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</si>
  <si>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</si>
  <si>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</si>
  <si>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</si>
  <si>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</si>
  <si>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</si>
  <si>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</si>
  <si>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</si>
  <si>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</si>
  <si>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</si>
  <si>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</si>
  <si>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</si>
  <si>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</si>
  <si>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</si>
  <si>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</si>
  <si>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</si>
  <si>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</si>
  <si>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</si>
  <si>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</si>
  <si>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</si>
  <si>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</si>
  <si>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</si>
  <si>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</si>
  <si>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</si>
  <si>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</si>
  <si>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</si>
  <si>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</si>
  <si>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</si>
  <si>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</si>
  <si>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</si>
  <si>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</si>
  <si>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</si>
  <si>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</si>
  <si>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</si>
  <si>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</si>
  <si>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</si>
  <si>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</si>
  <si>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</si>
  <si>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</si>
  <si>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</si>
  <si>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</si>
  <si>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</si>
  <si>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</si>
  <si>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</si>
  <si>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</si>
  <si>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</si>
  <si>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</si>
  <si>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</si>
  <si>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</si>
  <si>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</si>
  <si>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</si>
  <si>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</si>
  <si>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</si>
  <si>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</si>
  <si>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</si>
  <si>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</si>
  <si>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</si>
  <si>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</si>
  <si>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</si>
  <si>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</si>
  <si>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</si>
  <si>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</si>
  <si>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</si>
  <si>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</si>
  <si>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</si>
  <si>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</si>
  <si>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</si>
  <si>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</si>
  <si>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</si>
  <si>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</si>
  <si>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</si>
  <si>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</si>
  <si>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</si>
  <si>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</si>
  <si>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</si>
  <si>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</si>
  <si>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</si>
  <si>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</si>
  <si>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</si>
  <si>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</si>
  <si>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</si>
  <si>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</si>
  <si>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</si>
  <si>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</si>
  <si>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</si>
  <si>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</si>
  <si>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</si>
  <si>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</si>
  <si>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</si>
  <si>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</si>
  <si>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</si>
  <si>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</si>
  <si>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</si>
  <si>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</si>
  <si>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</si>
  <si>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</si>
  <si>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</si>
  <si>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</si>
  <si>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</si>
  <si>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</si>
  <si>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</si>
  <si>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</si>
  <si>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</si>
  <si>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</si>
  <si>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</si>
  <si>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</si>
  <si>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</si>
  <si>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</si>
  <si>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</si>
  <si>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</si>
  <si>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</si>
  <si>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</si>
  <si>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</si>
  <si>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</si>
  <si>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</si>
  <si>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</si>
  <si>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</si>
  <si>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</si>
  <si>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</si>
  <si>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</si>
  <si>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</si>
  <si>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</si>
  <si>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</si>
  <si>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</si>
  <si>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</si>
  <si>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</si>
  <si>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</si>
  <si>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</si>
  <si>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</si>
  <si>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</si>
  <si>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</si>
  <si>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</si>
  <si>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</si>
  <si>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</si>
  <si>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</si>
  <si>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</si>
  <si>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</si>
  <si>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</si>
  <si>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</si>
  <si>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</si>
  <si>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</si>
  <si>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</si>
  <si>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</si>
  <si>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</si>
  <si>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</si>
  <si>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</si>
  <si>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</si>
  <si>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</si>
  <si>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</si>
  <si>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</si>
  <si>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</si>
  <si>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</si>
  <si>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</si>
  <si>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</si>
  <si>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</si>
  <si>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</si>
  <si>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</si>
  <si>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</si>
  <si>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</si>
  <si>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</si>
  <si>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</si>
  <si>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</si>
  <si>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</si>
  <si>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</si>
  <si>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</si>
  <si>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</si>
  <si>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</si>
  <si>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</si>
  <si>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</si>
  <si>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</si>
  <si>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</si>
  <si>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</si>
  <si>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</si>
  <si>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</si>
  <si>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</si>
  <si>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</si>
  <si>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</si>
  <si>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</si>
  <si>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</si>
  <si>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</si>
  <si>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</si>
  <si>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</si>
  <si>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</si>
  <si>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</si>
  <si>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</si>
  <si>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</si>
  <si>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</si>
  <si>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</si>
  <si>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</si>
  <si>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</si>
  <si>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</si>
  <si>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</si>
  <si>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</si>
  <si>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</si>
  <si>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</si>
  <si>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</si>
  <si>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</si>
  <si>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</si>
  <si>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</si>
  <si>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</si>
  <si>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</si>
  <si>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</si>
  <si>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</si>
  <si>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</si>
  <si>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</si>
  <si>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</si>
  <si>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</si>
  <si>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</si>
  <si>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</si>
  <si>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</si>
  <si>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</si>
  <si>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</si>
  <si>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</si>
  <si>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</si>
  <si>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</si>
  <si>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</si>
  <si>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</si>
  <si>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</si>
  <si>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</si>
  <si>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</si>
  <si>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</si>
  <si>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</si>
  <si>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</si>
  <si>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</si>
  <si>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</si>
  <si>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</si>
  <si>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</si>
  <si>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</si>
  <si>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</si>
  <si>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</si>
  <si>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</si>
  <si>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</si>
  <si>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</si>
  <si>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</si>
  <si>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</si>
  <si>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</si>
  <si>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</si>
  <si>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</si>
  <si>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</si>
  <si>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</si>
  <si>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</si>
  <si>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</si>
  <si>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</si>
  <si>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</si>
  <si>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</si>
  <si>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</si>
  <si>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</si>
  <si>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</si>
  <si>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</si>
  <si>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</si>
  <si>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</si>
  <si>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</si>
  <si>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</si>
  <si>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</si>
  <si>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</si>
  <si>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</si>
  <si>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</si>
  <si>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</si>
  <si>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</si>
  <si>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</si>
  <si>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</si>
  <si>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</si>
  <si>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</si>
  <si>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</si>
  <si>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</si>
  <si>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</si>
  <si>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</si>
  <si>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</si>
  <si>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</si>
  <si>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</si>
  <si>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</si>
  <si>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</si>
  <si>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</si>
  <si>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</si>
  <si>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</si>
  <si>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</si>
  <si>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</si>
  <si>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</si>
  <si>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</si>
  <si>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</si>
  <si>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</si>
  <si>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</si>
  <si>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</si>
  <si>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</si>
  <si>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</si>
  <si>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</si>
  <si>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</si>
  <si>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</si>
  <si>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</si>
  <si>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</si>
  <si>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</si>
  <si>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</si>
  <si>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</si>
  <si>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</si>
  <si>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</si>
  <si>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</si>
  <si>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</si>
  <si>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</si>
  <si>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</si>
  <si>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</si>
  <si>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</si>
  <si>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</si>
  <si>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</si>
  <si>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</si>
  <si>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</si>
  <si>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</si>
  <si>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</si>
  <si>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</si>
  <si>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</si>
  <si>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</si>
  <si>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</si>
  <si>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</si>
  <si>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</si>
  <si>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</si>
  <si>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</si>
  <si>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</si>
  <si>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</si>
  <si>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</si>
  <si>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</si>
  <si>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</si>
  <si>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</si>
  <si>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</si>
  <si>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</si>
  <si>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</si>
  <si>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</si>
  <si>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</si>
  <si>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</si>
  <si>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</si>
  <si>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</si>
  <si>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</si>
  <si>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</si>
  <si>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</si>
  <si>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</si>
  <si>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</si>
  <si>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</si>
  <si>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</si>
  <si>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</si>
  <si>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</si>
  <si>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</si>
  <si>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</si>
  <si>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</si>
  <si>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</si>
  <si>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</si>
  <si>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</si>
  <si>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</si>
  <si>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</si>
  <si>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</si>
  <si>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</si>
  <si>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</si>
  <si>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</si>
  <si>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</si>
  <si>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</si>
  <si>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</si>
  <si>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</si>
  <si>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</si>
  <si>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</si>
  <si>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</si>
  <si>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</si>
  <si>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</si>
  <si>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</si>
  <si>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</si>
  <si>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</si>
  <si>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</si>
  <si>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</si>
  <si>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</si>
  <si>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</si>
  <si>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</si>
  <si>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</si>
  <si>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</si>
  <si>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</si>
  <si>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</si>
  <si>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</si>
  <si>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</si>
  <si>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</si>
  <si>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</si>
  <si>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</si>
  <si>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</si>
  <si>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</si>
  <si>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</si>
  <si>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</si>
  <si>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</si>
  <si>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</si>
  <si>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</si>
  <si>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</si>
  <si>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</si>
  <si>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</si>
  <si>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</si>
  <si>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</si>
  <si>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</si>
  <si>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</si>
  <si>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</si>
  <si>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</si>
  <si>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</si>
  <si>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</si>
  <si>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</si>
  <si>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</si>
  <si>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</si>
  <si>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</si>
  <si>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</si>
  <si>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</si>
  <si>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</si>
  <si>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</si>
  <si>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</si>
  <si>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</si>
  <si>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</si>
  <si>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</si>
  <si>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</si>
  <si>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</si>
  <si>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</si>
  <si>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</si>
  <si>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</si>
  <si>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</si>
  <si>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</si>
  <si>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</si>
  <si>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</si>
  <si>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</si>
  <si>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</si>
  <si>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</si>
  <si>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</si>
  <si>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</si>
  <si>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</si>
  <si>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</si>
  <si>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</si>
  <si>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</si>
  <si>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</si>
  <si>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</si>
  <si>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</si>
  <si>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</si>
  <si>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</si>
  <si>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</si>
  <si>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</si>
  <si>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</si>
  <si>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</si>
  <si>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</si>
  <si>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</si>
  <si>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</si>
  <si>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</si>
  <si>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</si>
  <si>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</si>
  <si>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</si>
  <si>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</si>
  <si>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</si>
  <si>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</si>
  <si>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</si>
  <si>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</si>
  <si>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</si>
  <si>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</si>
  <si>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</si>
  <si>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</si>
  <si>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</si>
  <si>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</si>
  <si>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</si>
  <si>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</si>
  <si>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</si>
  <si>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</si>
  <si>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</si>
  <si>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</si>
  <si>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</si>
  <si>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</si>
  <si>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</si>
  <si>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</si>
  <si>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</si>
  <si>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</si>
  <si>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</si>
  <si>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</si>
  <si>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</si>
  <si>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</si>
  <si>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</si>
  <si>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</si>
  <si>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</si>
  <si>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</si>
  <si>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</si>
  <si>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</si>
  <si>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</si>
  <si>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</si>
  <si>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</si>
  <si>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</si>
  <si>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</si>
  <si>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</si>
  <si>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</si>
  <si>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</si>
  <si>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</si>
  <si>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</si>
  <si>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</si>
  <si>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</si>
  <si>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</si>
  <si>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</si>
  <si>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</si>
  <si>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</si>
  <si>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</si>
  <si>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</si>
  <si>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</si>
  <si>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</si>
  <si>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</si>
  <si>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</si>
  <si>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</si>
  <si>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</si>
  <si>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</si>
  <si>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</si>
  <si>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</si>
  <si>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</si>
  <si>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</si>
  <si>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</si>
  <si>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</si>
  <si>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</si>
  <si>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</si>
  <si>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</si>
  <si>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</si>
  <si>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</si>
  <si>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</si>
  <si>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</si>
  <si>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</si>
  <si>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</si>
  <si>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</si>
  <si>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</si>
  <si>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</si>
  <si>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</si>
  <si>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</si>
  <si>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</si>
  <si>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</si>
  <si>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</si>
  <si>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</si>
  <si>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</si>
  <si>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</si>
  <si>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</si>
  <si>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</si>
  <si>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</si>
  <si>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</si>
  <si>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</si>
  <si>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</si>
  <si>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</si>
  <si>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</si>
  <si>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</si>
  <si>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</si>
  <si>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</si>
  <si>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</si>
  <si>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</si>
  <si>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</si>
  <si>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</si>
  <si>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</si>
  <si>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</si>
  <si>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</si>
  <si>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</si>
  <si>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</si>
  <si>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</si>
  <si>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</si>
  <si>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</si>
  <si>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</si>
  <si>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</si>
  <si>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</si>
  <si>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</si>
  <si>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</si>
  <si>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</si>
  <si>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</si>
  <si>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</si>
  <si>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</si>
  <si>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</si>
  <si>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</si>
  <si>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</si>
  <si>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</si>
  <si>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</si>
  <si>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</si>
  <si>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</si>
  <si>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</si>
  <si>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</si>
  <si>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</si>
  <si>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</si>
  <si>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</si>
  <si>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</si>
  <si>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</si>
  <si>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</si>
  <si>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</si>
  <si>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</si>
  <si>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</si>
  <si>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</si>
  <si>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</si>
  <si>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</si>
  <si>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</si>
  <si>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</si>
  <si>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</si>
  <si>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</si>
  <si>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</si>
  <si>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</si>
  <si>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</si>
  <si>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</si>
  <si>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</si>
  <si>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</si>
  <si>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</si>
  <si>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</si>
  <si>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</si>
  <si>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</si>
  <si>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</si>
  <si>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</si>
  <si>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</si>
  <si>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</si>
  <si>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</si>
  <si>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</si>
  <si>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</si>
  <si>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</si>
  <si>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</si>
  <si>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</si>
  <si>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</si>
  <si>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</si>
  <si>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</si>
  <si>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</si>
  <si>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</si>
  <si>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</si>
  <si>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</si>
  <si>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</si>
  <si>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</si>
  <si>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</si>
  <si>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</si>
  <si>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</si>
  <si>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</si>
  <si>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</si>
  <si>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</si>
  <si>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</si>
  <si>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</si>
  <si>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</si>
  <si>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</si>
  <si>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</si>
  <si>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</si>
  <si>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</si>
  <si>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</si>
  <si>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</si>
  <si>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</si>
  <si>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</si>
  <si>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</si>
  <si>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</si>
  <si>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</si>
  <si>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</si>
  <si>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</si>
  <si>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</si>
  <si>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</si>
  <si>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</si>
  <si>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</si>
  <si>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</si>
  <si>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</si>
  <si>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</si>
  <si>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</si>
  <si>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</si>
  <si>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</si>
  <si>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</si>
  <si>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</si>
  <si>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</si>
  <si>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</si>
  <si>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</si>
  <si>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</si>
  <si>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</si>
  <si>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</si>
  <si>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</si>
  <si>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</si>
  <si>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</si>
  <si>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</si>
  <si>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</si>
  <si>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</si>
  <si>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</si>
  <si>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</si>
  <si>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</si>
  <si>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</si>
  <si>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</si>
  <si>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</si>
  <si>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</si>
  <si>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</si>
  <si>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</si>
  <si>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</si>
  <si>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</si>
  <si>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</si>
  <si>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</si>
  <si>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</si>
  <si>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</si>
  <si>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</si>
  <si>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</si>
  <si>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</si>
  <si>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</si>
  <si>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</si>
  <si>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</si>
  <si>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</si>
  <si>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</si>
  <si>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</si>
  <si>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</si>
  <si>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</si>
  <si>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</si>
  <si>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</si>
  <si>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</si>
  <si>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</si>
  <si>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</si>
  <si>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</si>
  <si>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</si>
  <si>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</si>
  <si>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</si>
  <si>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</si>
  <si>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</si>
  <si>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</si>
  <si>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</si>
  <si>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</si>
  <si>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</si>
  <si>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</si>
  <si>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</si>
  <si>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</si>
  <si>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</si>
  <si>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</si>
  <si>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</si>
  <si>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</si>
  <si>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</si>
  <si>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</si>
  <si>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</si>
  <si>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</si>
  <si>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</si>
  <si>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</si>
  <si>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</si>
  <si>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</si>
  <si>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</si>
  <si>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</si>
  <si>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</si>
  <si>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</si>
  <si>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</si>
  <si>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</si>
  <si>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</si>
  <si>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</si>
  <si>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</si>
  <si>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</si>
  <si>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</si>
  <si>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</si>
  <si>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</si>
  <si>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</si>
  <si>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</si>
  <si>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</si>
  <si>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</si>
  <si>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</si>
  <si>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</si>
  <si>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</si>
  <si>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</si>
  <si>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</si>
  <si>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</si>
  <si>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</si>
  <si>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</si>
  <si>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</si>
  <si>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</si>
  <si>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</si>
  <si>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</si>
  <si>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</si>
  <si>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</si>
  <si>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</si>
  <si>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</si>
  <si>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</si>
  <si>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</si>
  <si>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</si>
  <si>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</si>
  <si>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</si>
  <si>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</si>
  <si>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</si>
  <si>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</si>
  <si>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</si>
  <si>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</si>
  <si>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</si>
  <si>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</si>
  <si>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</si>
  <si>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</si>
  <si>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</si>
  <si>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</si>
  <si>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</si>
  <si>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</si>
  <si>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</si>
  <si>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</si>
  <si>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</si>
  <si>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</si>
  <si>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</si>
  <si>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</si>
  <si>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</si>
  <si>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</si>
  <si>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</si>
  <si>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</si>
  <si>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</si>
  <si>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</si>
  <si>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</si>
  <si>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</si>
  <si>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</si>
  <si>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</si>
  <si>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</si>
  <si>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</si>
  <si>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</si>
  <si>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</si>
  <si>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</si>
  <si>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</si>
  <si>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</si>
  <si>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</si>
  <si>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</si>
  <si>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</si>
  <si>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</si>
  <si>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</si>
  <si>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</si>
  <si>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</si>
  <si>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</si>
  <si>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</si>
  <si>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</si>
  <si>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</si>
  <si>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</si>
  <si>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</si>
  <si>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</si>
  <si>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</si>
  <si>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</si>
  <si>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</si>
  <si>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</si>
  <si>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</si>
  <si>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</si>
  <si>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</si>
  <si>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</si>
  <si>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</si>
  <si>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</si>
  <si>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</si>
  <si>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</si>
  <si>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</si>
  <si>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</si>
  <si>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</si>
  <si>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</si>
  <si>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</si>
  <si>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</si>
  <si>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</si>
  <si>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</si>
  <si>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</si>
  <si>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</si>
  <si>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</si>
  <si>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</si>
  <si>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</si>
  <si>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</si>
  <si>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</si>
  <si>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</si>
  <si>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</si>
  <si>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</si>
  <si>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</si>
  <si>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</si>
  <si>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</si>
  <si>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</si>
  <si>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</si>
  <si>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</si>
  <si>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</si>
  <si>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</si>
  <si>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</si>
  <si>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</si>
  <si>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</si>
  <si>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</si>
  <si>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</si>
  <si>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</si>
  <si>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</si>
  <si>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</si>
  <si>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</si>
  <si>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</si>
  <si>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</si>
  <si>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</si>
  <si>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</si>
  <si>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</si>
  <si>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</si>
  <si>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</si>
  <si>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</si>
  <si>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</si>
  <si>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</si>
  <si>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</si>
  <si>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</si>
  <si>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</si>
  <si>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</si>
  <si>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</si>
  <si>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</si>
  <si>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</si>
  <si>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</si>
  <si>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</si>
  <si>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</si>
  <si>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</si>
  <si>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</si>
  <si>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</si>
  <si>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</si>
  <si>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</si>
  <si>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</si>
  <si>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</si>
  <si>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</si>
  <si>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</si>
  <si>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</si>
  <si>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</si>
  <si>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</si>
  <si>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</si>
  <si>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</si>
  <si>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</si>
  <si>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</si>
  <si>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</si>
  <si>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</si>
  <si>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</si>
  <si>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</si>
  <si>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</si>
  <si>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</si>
  <si>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</si>
  <si>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</si>
  <si>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</si>
  <si>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</si>
  <si>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</si>
  <si>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</si>
  <si>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</si>
  <si>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</si>
  <si>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</si>
  <si>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</si>
  <si>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</si>
  <si>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</si>
  <si>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</si>
  <si>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</si>
  <si>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</si>
  <si>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</si>
  <si>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</si>
  <si>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</si>
  <si>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</si>
  <si>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</si>
  <si>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</si>
  <si>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</si>
  <si>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</si>
  <si>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</si>
  <si>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</si>
  <si>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</si>
  <si>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</si>
  <si>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</si>
  <si>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</si>
  <si>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</si>
  <si>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</si>
  <si>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</si>
  <si>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</si>
  <si>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</si>
  <si>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</si>
  <si>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</si>
  <si>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</si>
  <si>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</si>
  <si>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</si>
  <si>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</si>
  <si>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</si>
  <si>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</si>
  <si>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</si>
  <si>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</si>
  <si>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</si>
  <si>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</si>
  <si>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</si>
  <si>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</si>
  <si>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</si>
  <si>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</si>
  <si>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</si>
  <si>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</si>
  <si>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</si>
  <si>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</si>
  <si>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</si>
  <si>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</si>
  <si>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</si>
  <si>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</si>
  <si>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</si>
  <si>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</si>
  <si>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</si>
  <si>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</si>
  <si>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</si>
  <si>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</si>
  <si>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</si>
  <si>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</si>
  <si>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</si>
  <si>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</si>
  <si>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</si>
  <si>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</si>
  <si>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</si>
  <si>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</si>
  <si>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</si>
  <si>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</si>
  <si>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</si>
  <si>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</si>
  <si>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</si>
  <si>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</si>
  <si>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</si>
  <si>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</si>
  <si>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</si>
  <si>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</si>
  <si>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</si>
  <si>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</si>
  <si>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</si>
  <si>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</si>
  <si>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</si>
  <si>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</si>
  <si>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</si>
  <si>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</si>
  <si>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</si>
  <si>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</si>
  <si>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</si>
  <si>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</si>
  <si>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</si>
  <si>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</si>
  <si>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</si>
  <si>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</si>
  <si>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</si>
  <si>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</si>
  <si>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</si>
  <si>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</si>
  <si>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</si>
  <si>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</si>
  <si>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</si>
  <si>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</si>
  <si>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</si>
  <si>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</si>
  <si>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</si>
  <si>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</si>
  <si>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</si>
  <si>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</si>
  <si>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</si>
  <si>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</si>
  <si>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</si>
  <si>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</si>
  <si>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</si>
  <si>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</si>
  <si>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</si>
  <si>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</si>
  <si>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</si>
  <si>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</si>
  <si>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</si>
  <si>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</si>
  <si>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</si>
  <si>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</si>
  <si>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</si>
  <si>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</si>
  <si>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</si>
  <si>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</si>
  <si>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</si>
  <si>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</si>
  <si>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</si>
  <si>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</si>
  <si>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</si>
  <si>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</si>
  <si>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</si>
  <si>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</si>
  <si>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</si>
  <si>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</si>
  <si>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</si>
  <si>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</si>
  <si>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</si>
  <si>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</si>
  <si>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</si>
  <si>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</si>
  <si>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</si>
  <si>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</si>
  <si>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</si>
  <si>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</si>
  <si>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</si>
  <si>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</si>
  <si>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</si>
  <si>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</si>
  <si>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</si>
  <si>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</si>
  <si>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</si>
  <si>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</si>
  <si>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</si>
  <si>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</si>
  <si>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</si>
  <si>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</si>
  <si>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</si>
  <si>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</si>
  <si>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</si>
  <si>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</si>
  <si>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</si>
  <si>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</si>
  <si>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</si>
  <si>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</si>
  <si>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</si>
  <si>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</si>
  <si>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</si>
  <si>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</si>
  <si>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</si>
  <si>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</si>
  <si>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</si>
  <si>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</si>
  <si>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</si>
  <si>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</si>
  <si>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</si>
  <si>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</si>
  <si>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</si>
  <si>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</si>
  <si>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</si>
  <si>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</si>
  <si>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</si>
  <si>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</si>
  <si>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</si>
  <si>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</si>
  <si>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</si>
  <si>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</si>
  <si>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</si>
  <si>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</si>
  <si>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</si>
  <si>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</si>
  <si>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</si>
  <si>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</si>
  <si>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</si>
  <si>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</si>
  <si>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</si>
  <si>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</si>
  <si>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</si>
  <si>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</si>
  <si>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</si>
  <si>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</si>
  <si>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</si>
  <si>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</si>
  <si>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</si>
  <si>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</si>
  <si>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</si>
  <si>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</si>
  <si>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</si>
  <si>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</si>
  <si>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</si>
  <si>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</si>
  <si>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</si>
  <si>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</si>
  <si>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</si>
  <si>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</si>
  <si>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</si>
  <si>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</si>
  <si>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</si>
  <si>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</si>
  <si>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</si>
  <si>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</si>
  <si>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</si>
  <si>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</si>
  <si>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</si>
  <si>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</si>
  <si>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</si>
  <si>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</si>
  <si>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</si>
  <si>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</si>
  <si>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</si>
  <si>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</si>
  <si>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</si>
  <si>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</si>
  <si>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</si>
  <si>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</si>
  <si>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</si>
  <si>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</si>
  <si>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</si>
  <si>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</si>
  <si>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</si>
  <si>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</si>
  <si>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</si>
  <si>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</si>
  <si>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</si>
  <si>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</si>
  <si>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</si>
  <si>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</si>
  <si>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</si>
  <si>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</si>
  <si>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</si>
  <si>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</si>
  <si>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</si>
  <si>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</si>
  <si>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</si>
  <si>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</si>
  <si>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</si>
  <si>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</si>
  <si>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</si>
  <si>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</si>
  <si>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</si>
  <si>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</si>
  <si>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</si>
  <si>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</si>
  <si>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</si>
  <si>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</si>
  <si>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</si>
  <si>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</si>
  <si>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</si>
  <si>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</si>
  <si>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</si>
  <si>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</si>
  <si>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</si>
  <si>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</si>
  <si>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</si>
  <si>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</si>
  <si>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</si>
  <si>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</si>
  <si>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</si>
  <si>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</si>
  <si>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</si>
  <si>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</si>
  <si>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</si>
  <si>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</si>
  <si>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</si>
  <si>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</si>
  <si>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</si>
  <si>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</si>
  <si>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</si>
  <si>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</si>
  <si>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</si>
  <si>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</si>
  <si>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</si>
  <si>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</si>
  <si>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</si>
  <si>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</si>
  <si>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</si>
  <si>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</si>
  <si>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</si>
  <si>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</si>
  <si>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</si>
  <si>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</si>
  <si>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</si>
  <si>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</si>
  <si>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</si>
  <si>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</si>
  <si>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</si>
  <si>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</si>
  <si>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</si>
  <si>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</si>
  <si>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</si>
  <si>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</si>
  <si>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</si>
  <si>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</si>
  <si>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</si>
  <si>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</si>
  <si>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</si>
  <si>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</si>
  <si>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</si>
  <si>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</si>
  <si>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</si>
  <si>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</si>
  <si>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</si>
  <si>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</si>
  <si>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</si>
  <si>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</si>
  <si>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</si>
  <si>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</si>
  <si>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</si>
  <si>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</si>
  <si>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</si>
  <si>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</si>
  <si>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</si>
  <si>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</si>
  <si>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</si>
  <si>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</si>
  <si>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</si>
  <si>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</si>
  <si>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</si>
  <si>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</si>
  <si>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</si>
  <si>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</si>
  <si>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</si>
  <si>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</si>
  <si>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</si>
  <si>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</si>
  <si>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</si>
  <si>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</si>
  <si>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</si>
  <si>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</si>
  <si>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</si>
  <si>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</si>
  <si>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</si>
  <si>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</si>
  <si>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</si>
  <si>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</si>
  <si>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</si>
  <si>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</si>
  <si>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</si>
  <si>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</si>
  <si>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</si>
  <si>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</si>
  <si>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</si>
  <si>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</si>
  <si>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</si>
  <si>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</si>
  <si>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</si>
  <si>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</si>
  <si>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</si>
  <si>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</si>
  <si>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</si>
  <si>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</si>
  <si>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</si>
  <si>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</si>
  <si>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</si>
  <si>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</si>
  <si>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</si>
  <si>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</si>
  <si>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</si>
  <si>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</si>
  <si>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</si>
  <si>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</si>
  <si>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</si>
  <si>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</si>
  <si>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</si>
  <si>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</si>
  <si>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</si>
  <si>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</si>
  <si>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</si>
  <si>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</si>
  <si>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</si>
  <si>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</si>
  <si>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</si>
  <si>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</si>
  <si>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</si>
  <si>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</si>
  <si>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</si>
  <si>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</si>
  <si>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</si>
  <si>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</si>
  <si>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</si>
  <si>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</si>
  <si>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</si>
  <si>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</si>
  <si>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</si>
  <si>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</si>
  <si>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</si>
  <si>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</si>
  <si>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</si>
  <si>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</si>
  <si>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</si>
  <si>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</si>
  <si>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</si>
  <si>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</si>
  <si>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</si>
  <si>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</si>
  <si>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</si>
  <si>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</si>
  <si>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</si>
  <si>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</si>
  <si>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</si>
  <si>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</si>
  <si>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</si>
  <si>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</si>
  <si>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</si>
  <si>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</si>
  <si>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</si>
  <si>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</si>
  <si>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</si>
  <si>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</si>
  <si>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</si>
  <si>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</si>
  <si>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</si>
  <si>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</si>
  <si>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</si>
  <si>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</si>
  <si>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</si>
  <si>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</si>
  <si>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</si>
  <si>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</si>
  <si>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</si>
  <si>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</si>
  <si>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</si>
  <si>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</si>
  <si>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</si>
  <si>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</si>
  <si>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</si>
  <si>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</si>
  <si>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</si>
  <si>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</si>
  <si>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</si>
  <si>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</si>
  <si>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</si>
  <si>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</si>
  <si>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</si>
  <si>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</si>
  <si>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</si>
  <si>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</si>
  <si>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</si>
  <si>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</si>
  <si>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</si>
  <si>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</si>
  <si>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</si>
  <si>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</si>
  <si>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</si>
  <si>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</si>
  <si>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</si>
  <si>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</si>
  <si>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</si>
  <si>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</si>
  <si>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</si>
  <si>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</si>
  <si>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</si>
  <si>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</si>
  <si>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</si>
  <si>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</si>
  <si>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</si>
  <si>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</si>
  <si>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</si>
  <si>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</si>
  <si>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</si>
  <si>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</si>
  <si>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</si>
  <si>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</si>
  <si>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</si>
  <si>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</si>
  <si>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</si>
  <si>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</si>
  <si>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</si>
  <si>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</si>
  <si>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</si>
  <si>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</si>
  <si>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</si>
  <si>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</si>
  <si>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</si>
  <si>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</si>
  <si>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</si>
  <si>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</si>
  <si>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</si>
  <si>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</si>
  <si>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</si>
  <si>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</si>
  <si>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</si>
  <si>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</si>
  <si>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</si>
  <si>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</si>
  <si>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</si>
  <si>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</si>
  <si>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</si>
  <si>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</si>
  <si>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</si>
  <si>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</si>
  <si>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</si>
  <si>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</si>
  <si>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</si>
  <si>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</si>
  <si>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</si>
  <si>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</si>
  <si>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</si>
  <si>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</si>
  <si>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</si>
  <si>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</si>
  <si>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</si>
  <si>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</si>
  <si>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</si>
  <si>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</si>
  <si>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</si>
  <si>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</si>
  <si>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</si>
  <si>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</si>
  <si>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</si>
  <si>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</si>
  <si>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</si>
  <si>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</si>
  <si>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</si>
  <si>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</si>
  <si>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</si>
  <si>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</si>
  <si>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</si>
  <si>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</si>
  <si>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</si>
  <si>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</si>
  <si>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</si>
  <si>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</si>
  <si>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</si>
  <si>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</si>
  <si>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</si>
  <si>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</si>
  <si>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</si>
  <si>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</si>
  <si>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</si>
  <si>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</si>
  <si>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</si>
  <si>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</si>
  <si>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</si>
  <si>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</si>
  <si>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</si>
  <si>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</si>
  <si>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</si>
  <si>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</si>
  <si>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</si>
  <si>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</si>
  <si>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</si>
  <si>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</si>
  <si>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</si>
  <si>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</si>
  <si>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</si>
  <si>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</si>
  <si>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</si>
  <si>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</si>
  <si>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</si>
  <si>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</si>
  <si>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</si>
  <si>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</si>
  <si>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</si>
  <si>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</si>
  <si>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</si>
  <si>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</si>
  <si>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</si>
  <si>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</si>
  <si>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</si>
  <si>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</si>
  <si>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</si>
  <si>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</si>
  <si>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</si>
  <si>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</si>
  <si>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</si>
  <si>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</si>
  <si>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</si>
  <si>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</si>
  <si>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</si>
  <si>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</si>
  <si>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</si>
  <si>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</si>
  <si>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</si>
  <si>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</si>
  <si>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</si>
  <si>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</si>
  <si>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</si>
  <si>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</si>
  <si>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</si>
  <si>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</si>
  <si>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</si>
  <si>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</si>
  <si>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</si>
  <si>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</si>
  <si>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</si>
  <si>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</si>
  <si>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</si>
  <si>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</si>
  <si>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</si>
  <si>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</si>
  <si>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</si>
  <si>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</si>
  <si>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</si>
  <si>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</si>
  <si>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</si>
  <si>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</si>
  <si>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</si>
  <si>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</si>
  <si>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</si>
  <si>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</si>
  <si>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</si>
  <si>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</si>
  <si>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</si>
  <si>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</si>
  <si>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</si>
  <si>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</si>
  <si>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</si>
  <si>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</si>
  <si>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</si>
  <si>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</si>
  <si>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</si>
  <si>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</si>
  <si>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</si>
  <si>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</si>
  <si>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</si>
  <si>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</si>
  <si>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</si>
  <si>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</si>
  <si>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</si>
  <si>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</si>
  <si>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</si>
  <si>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</si>
  <si>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</si>
  <si>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</si>
  <si>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</si>
  <si>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</si>
  <si>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</si>
  <si>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</si>
  <si>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</si>
  <si>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</si>
  <si>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</si>
  <si>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</si>
  <si>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</si>
  <si>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</si>
  <si>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</si>
  <si>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</si>
  <si>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</si>
  <si>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</si>
  <si>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</si>
  <si>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</si>
  <si>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</si>
  <si>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</si>
  <si>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</si>
  <si>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</si>
  <si>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</si>
  <si>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</si>
  <si>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</si>
  <si>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</si>
  <si>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</si>
  <si>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</si>
  <si>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</si>
  <si>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</si>
  <si>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</si>
  <si>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</si>
  <si>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</si>
  <si>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</si>
  <si>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</si>
  <si>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</si>
  <si>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</si>
  <si>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</si>
  <si>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</si>
  <si>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</si>
  <si>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</si>
  <si>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</si>
  <si>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</si>
  <si>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</si>
  <si>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</si>
  <si>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</si>
  <si>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</si>
  <si>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</si>
  <si>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</si>
  <si>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</si>
  <si>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</si>
  <si>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</si>
  <si>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</si>
  <si>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</si>
  <si>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</si>
  <si>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</si>
  <si>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</si>
  <si>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</si>
  <si>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</si>
  <si>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</si>
  <si>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</si>
  <si>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</si>
  <si>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2021PA-058</t>
  </si>
  <si>
    <t>9% Credit Competitive Round only</t>
  </si>
  <si>
    <t>City Limits</t>
  </si>
  <si>
    <t>New Dunbar Road</t>
  </si>
  <si>
    <t>Dunbar Court</t>
  </si>
  <si>
    <t>Regional Director</t>
  </si>
  <si>
    <t>Georgia DCA - North Georgia</t>
  </si>
  <si>
    <t>Electric Heat Pump</t>
  </si>
  <si>
    <t>Peach County is identified as being located in the nothern region on the DCA Utility Allowance Map Effective January 2021. Applicant has used the Low-Rise Apartment utility allowances for the applications. Pleas see tab 01 for utility allowance documentation.</t>
  </si>
  <si>
    <t>Bennett &amp; Company, LLC</t>
  </si>
  <si>
    <t>Fred Bennett</t>
  </si>
  <si>
    <t>Managing Partner</t>
  </si>
  <si>
    <t>730 N. Dean Road, Suite 100</t>
  </si>
  <si>
    <t>202 New Dunbar Road</t>
  </si>
  <si>
    <t>City of Byron</t>
  </si>
  <si>
    <t>Michael Chidester</t>
  </si>
  <si>
    <t>Mayor</t>
  </si>
  <si>
    <t>401 Main Street</t>
  </si>
  <si>
    <t>www.byronga.com</t>
  </si>
  <si>
    <t>N/a</t>
  </si>
  <si>
    <t>Direct</t>
  </si>
  <si>
    <t>United Bank</t>
  </si>
  <si>
    <t>GP Equity</t>
  </si>
  <si>
    <t>LP Equity</t>
  </si>
  <si>
    <t>Amortizing</t>
  </si>
  <si>
    <t>Dunbar Court, LP</t>
  </si>
  <si>
    <t>Affordable Equity Partners, Inc.</t>
  </si>
  <si>
    <t>Novogradac &amp; Company, LLP</t>
  </si>
  <si>
    <t>Miscellaneous Administraive Costs</t>
  </si>
  <si>
    <t>Personal Property Taxes</t>
  </si>
  <si>
    <t>Byron Elementary School - 1050</t>
  </si>
  <si>
    <t>Byron Middle School - 0197</t>
  </si>
  <si>
    <t>Peach County High School - 2052</t>
  </si>
  <si>
    <t>Dunbar Court GP, Inc.</t>
  </si>
  <si>
    <t>www.fairwaymanagement.com</t>
  </si>
  <si>
    <t>Fairway Management Co., Inc</t>
  </si>
  <si>
    <t>3290 Northside Parkway, Suite 300</t>
  </si>
  <si>
    <t>For Profit</t>
  </si>
  <si>
    <t>Affordable Equity Partners, Inc</t>
  </si>
  <si>
    <t>26 Peach Way</t>
  </si>
  <si>
    <t>www.aepartners.com</t>
  </si>
  <si>
    <t>bkimes@aepartners.com</t>
  </si>
  <si>
    <t>Brian Kimes</t>
  </si>
  <si>
    <t>Vice President</t>
  </si>
  <si>
    <t>206 Peach Way</t>
  </si>
  <si>
    <t>www.thebennettgrp.net</t>
  </si>
  <si>
    <t>fred@thebennettgrp.net</t>
  </si>
  <si>
    <t>Sole Member</t>
  </si>
  <si>
    <t>Fairway Construction Company, Inc</t>
  </si>
  <si>
    <t>www.fairwayconstruction.net</t>
  </si>
  <si>
    <t>Atkins Roberts</t>
  </si>
  <si>
    <t>Bradley</t>
  </si>
  <si>
    <t>1918 5th Avenue N</t>
  </si>
  <si>
    <t>Birmingham</t>
  </si>
  <si>
    <t>aroberts@babc.com</t>
  </si>
  <si>
    <t>Partner</t>
  </si>
  <si>
    <t>2315 Eastchase Lane</t>
  </si>
  <si>
    <t>McKean &amp; Associates, Architects, LLC</t>
  </si>
  <si>
    <t>mckean@mckeanarch.com</t>
  </si>
  <si>
    <t>Rory McKean</t>
  </si>
  <si>
    <t>President</t>
  </si>
  <si>
    <t>Majestic Development, LLC</t>
  </si>
  <si>
    <t>Russell Adams</t>
  </si>
  <si>
    <t>241 Majestic Oak Circle</t>
  </si>
  <si>
    <t>Syndicator &amp; Management Company</t>
  </si>
  <si>
    <t>The Federal and State Syndicator and the General Contractor are related parties.</t>
  </si>
  <si>
    <t>The Federal and State Syndicator and the Management Company are related parties.</t>
  </si>
  <si>
    <t>Please see Tab 1 in the application for support documentation for the real estate taxes and insurance.</t>
  </si>
  <si>
    <t>Total Development costs are below the project cost limits.</t>
  </si>
  <si>
    <t>The applicant is targeting a family tenancy.</t>
  </si>
  <si>
    <t>Agree</t>
  </si>
  <si>
    <t>N/ap</t>
  </si>
  <si>
    <t>N/Ap</t>
  </si>
  <si>
    <t>The Applicant agrees to provide the required services.</t>
  </si>
  <si>
    <t>The application does not include an appraisal and there is not an identity of interest between the buyer and seller of the property.</t>
  </si>
  <si>
    <t>Geotechnical &amp; Environmental Consultants, Inc</t>
  </si>
  <si>
    <t>Purchase Contract</t>
  </si>
  <si>
    <t>Georgia Power Company</t>
  </si>
  <si>
    <t>Building</t>
  </si>
  <si>
    <t>Covered Porch</t>
  </si>
  <si>
    <t>Not applicable</t>
  </si>
  <si>
    <t>Not applicable. Project is all new construction.</t>
  </si>
  <si>
    <t>Zeffert &amp; Associates</t>
  </si>
  <si>
    <t>Yes - W&amp;D hookups installed in each unit</t>
  </si>
  <si>
    <t>The Applicant is not a non-profit.</t>
  </si>
  <si>
    <t>The Applicant is not a CHDO.</t>
  </si>
  <si>
    <t>Applicant agrees to prepare a AFFH Marketing plan if selected for funding.</t>
  </si>
  <si>
    <t>The Applicant believes the project as proposed is an optimal utilization of DCA resources. The proposed development will be located in the City of Byron, where there is no existing Family LIHTC housing.</t>
  </si>
  <si>
    <t>Peach County Transit</t>
  </si>
  <si>
    <t>478-825-5995</t>
  </si>
  <si>
    <t>http://www.peachcounty.net/public-transportation.cfm</t>
  </si>
  <si>
    <t>Site Census Tract</t>
  </si>
  <si>
    <t>Above 60th Percentile</t>
  </si>
  <si>
    <t>Above 60th Percentile/Below 80th Percentile</t>
  </si>
  <si>
    <t>Please see Tab 38 for evidence of the Byron GICH support letter executed by the primary contact on record as well as the local government agreement letter executed by the Mayor.</t>
  </si>
  <si>
    <t>There has been only one award within the City limits of Byron in the last 15 years which was prior to January 1, 2015, therefore the project is eligible for 4 points.</t>
  </si>
  <si>
    <t>Eric Stout</t>
  </si>
  <si>
    <t>estout@fairwaymanagement.com</t>
  </si>
  <si>
    <t>Brian Parr</t>
  </si>
  <si>
    <t>Director of Construction</t>
  </si>
  <si>
    <t>bparr@fairwayconstruction.net</t>
  </si>
  <si>
    <t>2-3 months</t>
  </si>
  <si>
    <t>Austin Pointe</t>
  </si>
  <si>
    <t>Lake Vista Apartments</t>
  </si>
  <si>
    <t>Pacific Park Apartments</t>
  </si>
  <si>
    <t>The Pines at Westdale</t>
  </si>
  <si>
    <t>Abbington at Galleria Mall</t>
  </si>
  <si>
    <t>Robins Landing</t>
  </si>
  <si>
    <t>2020-085</t>
  </si>
  <si>
    <t>1999-023</t>
  </si>
  <si>
    <t>2001-F015</t>
  </si>
  <si>
    <t>1999-060</t>
  </si>
  <si>
    <t>1997-037</t>
  </si>
  <si>
    <t>2017-025</t>
  </si>
  <si>
    <t>mlcattorney@mgacoxmail.ocm</t>
  </si>
  <si>
    <t>Please see Tab 8 for site control through November 30, 2021.</t>
  </si>
  <si>
    <t>The site is accessible via a legally accessible paved road and the appropriate drawings and other documentation relfecting the paved roads is included in the application.</t>
  </si>
  <si>
    <t>Please see Tab 11 for the letter of availibility from Georgia Power.</t>
  </si>
  <si>
    <t>Please see Tab 12 for letter of availibility from the City of Byron.</t>
  </si>
  <si>
    <t>Applicant agrees to provide the required standard site amenities and additional site amenities to conform with the DCA Amenities Guidebook.</t>
  </si>
  <si>
    <t>https://www.peachcounty.net/contact.cfm</t>
  </si>
  <si>
    <t>Peach County Transit offers on call transportation available to all residents at the proposed development. The service is available 5 days a week at a reasonable cost. Please see Tab 28 of the application for support documentation.</t>
  </si>
  <si>
    <t>IV. Deeper Targeting / Rent / Income Restrictions:  The applicant has selected the Income Averaging Set-aside and the overall property AMI for each affordable unit for the proposed development will be 57.50% and is eligible for two (2) Deeper Targeting points.
XI. Mixed Income Development: The applicant has selected the Income Averaging Set-aside and will not offer any Market Rate units.
XV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XX -  Compliance / Performance: A pre-application was submitted at pre-application date and there have been no changes. All required documents regarding Certifying Entity related to capacity and performance have been included in the application.</t>
  </si>
  <si>
    <t>Please see Tab 16 for CSDP prepared in accordance with all instructions set forth in the DCA Architectural Manual.</t>
  </si>
  <si>
    <t>Please see Tab 17 for Green Building Worksheet. Applicant certifies that they have completed the required 30-minute Building Sustainability  training provided on the DCA website.</t>
  </si>
  <si>
    <t>The Applicant will retain a DCA qualified consultant to monitor the project for accessibility compliance who will not be a member of the proposed project team nor have an identity of interest with any member of the project team.</t>
  </si>
  <si>
    <t>Applicant agrees to meet the Architectural Standards contained in the Application Manual for quality and longevity. Applicant further agrees to provide high-speed Wi-Fi internet access in the community building through the entirety of the compliance period and extended use period.</t>
  </si>
  <si>
    <t>Please see Tab 20 for the Qualification Determination letter from the Pre-Application. The project team has not changed since pre-application.</t>
  </si>
  <si>
    <t>XIII Section B. Extended Affordability Commitment: Owner is willing to forgo the Qualified Contract "cancelation option" after the close of the compliance period.</t>
  </si>
  <si>
    <t>Per the QAP, DCA will utilize the applicable rate effective as of May 1, 2021. The Long Term Monthly Applicable Federal Rate ("AFR") in effect as of May 1, 2021 is 2.14%. Please see Tab 01 for preliminary commitment letters for financing and equity. United Bank is a certified Community Development Financial Institution, and the proposed loan is offered as a result of the Bank's 2020 Capital Magnet Fund award from the CDFI Fund division of the United States Treasury Department.</t>
  </si>
  <si>
    <t>Cable TV &amp; WiFi</t>
  </si>
  <si>
    <t>On-site laundry</t>
  </si>
  <si>
    <t>iaff107@aol.com</t>
  </si>
  <si>
    <t xml:space="preserve">The project is located in census tract 13225040102. The percentage below the poverty line accourding to US Census FFIEC data is 12.26%. The location is a USDA rual eligible location and is therefore eligible for 4 points under Low-poverty communites scoring section. Additionally, the census tract has Health Insurance Coverage Rate and Life Expectancy rates above the 60th percentile thresholds and Median Income for 2019 is above the 60th percentile threshold. The property is eligible for seven points in this scoring section. </t>
  </si>
  <si>
    <t>Documentation confirming that zoning is in place is in tab 10 of the application.</t>
  </si>
  <si>
    <t>United Bank (Capital Magnet Funds)</t>
  </si>
  <si>
    <t>Tidwell</t>
  </si>
  <si>
    <t>2001 Park Place #900</t>
  </si>
  <si>
    <t>barry.tidwell@thefctgroup.com</t>
  </si>
  <si>
    <t>56.0 dB</t>
  </si>
  <si>
    <t>Please see Tab 7 for the Phase 1 Environmental report.</t>
  </si>
  <si>
    <t xml:space="preserve">Dunbar Court is a proposed family community in the City of Byron, Peach County. The selected location is 10.10 acres on New Dunbar Road and is planned to be a 48-unit community of two story garden designed development with 96 surface parking spaces. The conceptual site plans is for 3 buildings and a community building. Exterior amenities will include a covered porch with seating, a picnic pavilion and a playground. Interior amenities will include seating areas for socializing, a community kitchen with appliances, a technology center with computers and access to the internet, a fitness center with a variety of equipment, and a property manager's office.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to the project team have occurred since the pre-application submission. </t>
  </si>
  <si>
    <t>Please see Tab 1 of the application for a breakout of the local government fees. The construction hard costs were carefully evaluated and estimated by the general contractor and civil engineer.</t>
  </si>
  <si>
    <t xml:space="preserve">Applicant belives that the proposed project feasible, viable and in conformance with the plan. The overall development and construction costs are considered reasonable and were evaluated by an experienced General Contractor and Engineer. 2021 QAP defined Residential Square Footage: 1BR/1BA = 856 SF; 2BR/2BA = 1,081 SF; 3BR/2BA = 1,290 SF. Total Residential SF = 53,432 SF.
</t>
  </si>
  <si>
    <t>Please see the market study located in Tab 5 of the Application. Demand for the proposed development is particularly strong, with an overall vacancy rate of the stabilized comps of just 1.3%. The 3rd party market analyst believes the proposed project will not have an adverse financial impact on the pending DCA-funded property, Abbington at Galleria Mall. In addition to the properties above other DCA-funded properties within the primary market area include: Heathrow Senior Village (DCA # 2004-016), Peach Place Apartments (DCA # 2012-031), Potemkin Senior Village (DCA # 2014-046), Ridgecrest Apartments (DCA # 2001-008), Saint Andrews Court (DCA# 2016-062) and Tupelo Ridge (DCA # 2017-025). There are two DCA funded properties in the City of Byron, both are senior tenancy.</t>
  </si>
  <si>
    <t>The project recieves the full 20 points for desirables. Within two miles there is a elementary school, public park over 25,000 sq ft, grocery store, medical provider, public library, US post office, banks, restaurants and many other retail and commercial services. There are no undesirables and the project location does not fall within an USDA food desert. Please see Tab 27 for the Desirable Activities documentation.</t>
  </si>
  <si>
    <t>The projects location is within the attendance zone of Byron Elementary, Byron Middle and Peach County High School. Byron Middle School and Peach County High School received Beating the Odds Designation for 2018 and 2019. Additionally, the two year CCRPI scores for Byron Middle School are above the minimum average per the QAP and the middle school serves three grade levels. Please see Tab 29 for Quality Education documentation.</t>
  </si>
  <si>
    <t>Please see Tab 39 for the commitment letter for the construction- perm loan of $480,000 with a minimum term of 10 years and interest rate at or below long term monthly AFR effective May 1, 2021. The loan amount is for $10,000 per unit and is eligible for one favorable financing point. United Bank is a certified Community Development Financial Institution, and the proposed loan is offered as a result of the Bank's 2020 Capital Magnet Fund award from the CDFI Fund division of the United States Treasury Department.</t>
  </si>
  <si>
    <t>2021-014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</si>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</sst>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73">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Dunbar Court</v>
      </c>
    </row>
    <row r="3" spans="1:6" ht="15" customHeight="1">
      <c r="A3" s="761" t="str">
        <f>CONCATENATE('Part I-Project Information'!F39,", ", 'Part I-Project Information'!J40," County")</f>
        <v>Byron, Peach County</v>
      </c>
    </row>
    <row r="4" spans="1:6" ht="12" customHeight="1">
      <c r="A4" s="1197"/>
    </row>
    <row r="5" spans="1:6" ht="72" customHeight="1">
      <c r="A5" s="3131" t="s">
        <v>6991</v>
      </c>
      <c r="B5" s="3132" t="s">
        <v>4081</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FYdM8IP9knI2NJkmIIQO3gR/v7KnTQPBET8Infy2S/5Hul+rZzy35DfY6hUkuwOr2FllUBIh6LxysTyL7bUTPA==" saltValue="ZZoAw0CiPocKHw5BL/8V/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5" zoomScale="89" zoomScaleNormal="89" workbookViewId="0">
      <selection activeCell="A215"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3257</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27" t="str">
        <f>CONCATENATE("PART SIX - PROJECTED REVENUES &amp; EXPENSES","  -  ",'Part I-Project Information'!$O$7," ",'Part I-Project Information'!$F$35,", ",'Part I-Project Information'!F39,", ",'Part I-Project Information'!J40," County")</f>
        <v>PART SIX - PROJECTED REVENUES &amp; EXPENSES  -  2021-014 Dunbar Court, Byron, Peach County</v>
      </c>
      <c r="B2" s="3828"/>
      <c r="C2" s="3828"/>
      <c r="D2" s="3828"/>
      <c r="E2" s="3828"/>
      <c r="F2" s="3828"/>
      <c r="G2" s="3828"/>
      <c r="H2" s="3828"/>
      <c r="I2" s="3828"/>
      <c r="J2" s="3828"/>
      <c r="K2" s="3828"/>
      <c r="L2" s="3828"/>
      <c r="M2" s="3828"/>
      <c r="N2" s="3828"/>
      <c r="O2" s="3828"/>
      <c r="P2" s="3828"/>
      <c r="Q2" s="3829"/>
      <c r="T2" s="1499" t="str">
        <f>A2</f>
        <v>PART SIX - PROJECTED REVENUES &amp; EXPENSES  -  2021-014 Dunbar Court, Byron, Peach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6308</v>
      </c>
      <c r="E4" s="1585"/>
      <c r="F4" s="1585"/>
      <c r="G4" s="1585"/>
      <c r="H4" s="1585"/>
      <c r="I4" s="1585"/>
      <c r="J4" s="1585"/>
      <c r="K4" s="120"/>
      <c r="L4" s="120"/>
      <c r="M4" s="120"/>
      <c r="O4" s="177" t="s">
        <v>547</v>
      </c>
      <c r="P4" s="3835" t="str">
        <f>'Part I-Project Information'!$O$41</f>
        <v>Peach Co.</v>
      </c>
      <c r="Q4" s="3835"/>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8" t="s">
        <v>3165</v>
      </c>
      <c r="MG4" s="3898" t="s">
        <v>3166</v>
      </c>
      <c r="MH4" s="3898" t="s">
        <v>3167</v>
      </c>
      <c r="MI4" s="3898" t="s">
        <v>3168</v>
      </c>
      <c r="MJ4" s="3898"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0" t="s">
        <v>3333</v>
      </c>
      <c r="R5" s="2651"/>
      <c r="S5" s="405"/>
      <c r="T5" s="405"/>
      <c r="U5" s="405"/>
      <c r="W5" s="406"/>
      <c r="X5" s="3898" t="s">
        <v>3836</v>
      </c>
      <c r="Y5" s="3898" t="s">
        <v>3837</v>
      </c>
      <c r="Z5" s="3898" t="s">
        <v>3838</v>
      </c>
      <c r="AA5" s="3898" t="s">
        <v>3839</v>
      </c>
      <c r="AB5" s="3898" t="s">
        <v>3840</v>
      </c>
      <c r="AC5" s="3898" t="s">
        <v>3841</v>
      </c>
      <c r="AD5" s="3898" t="s">
        <v>3842</v>
      </c>
      <c r="AE5" s="3898" t="s">
        <v>3843</v>
      </c>
      <c r="AF5" s="3898" t="s">
        <v>3844</v>
      </c>
      <c r="AG5" s="3898" t="s">
        <v>3845</v>
      </c>
      <c r="AH5" s="3898" t="s">
        <v>885</v>
      </c>
      <c r="AI5" s="3898" t="s">
        <v>726</v>
      </c>
      <c r="AJ5" s="3898" t="s">
        <v>727</v>
      </c>
      <c r="AK5" s="3898" t="s">
        <v>728</v>
      </c>
      <c r="AL5" s="3898" t="s">
        <v>729</v>
      </c>
      <c r="AM5" s="3898" t="s">
        <v>886</v>
      </c>
      <c r="AN5" s="3898" t="s">
        <v>2206</v>
      </c>
      <c r="AO5" s="3898" t="s">
        <v>2207</v>
      </c>
      <c r="AP5" s="3898" t="s">
        <v>2208</v>
      </c>
      <c r="AQ5" s="3898" t="s">
        <v>2209</v>
      </c>
      <c r="AR5" s="3898" t="s">
        <v>3847</v>
      </c>
      <c r="AS5" s="3898" t="s">
        <v>3848</v>
      </c>
      <c r="AT5" s="3898" t="s">
        <v>3849</v>
      </c>
      <c r="AU5" s="3898" t="s">
        <v>3850</v>
      </c>
      <c r="AV5" s="3898" t="s">
        <v>3846</v>
      </c>
      <c r="AW5" s="3898" t="s">
        <v>887</v>
      </c>
      <c r="AX5" s="3898" t="s">
        <v>2210</v>
      </c>
      <c r="AY5" s="3898" t="s">
        <v>2211</v>
      </c>
      <c r="AZ5" s="3898" t="s">
        <v>2212</v>
      </c>
      <c r="BA5" s="3898" t="s">
        <v>2213</v>
      </c>
      <c r="BB5" s="3898" t="s">
        <v>3851</v>
      </c>
      <c r="BC5" s="3898" t="s">
        <v>3852</v>
      </c>
      <c r="BD5" s="3898" t="s">
        <v>3853</v>
      </c>
      <c r="BE5" s="3898" t="s">
        <v>3854</v>
      </c>
      <c r="BF5" s="3898" t="s">
        <v>3855</v>
      </c>
      <c r="BG5" s="3898" t="s">
        <v>122</v>
      </c>
      <c r="BH5" s="3898" t="s">
        <v>2214</v>
      </c>
      <c r="BI5" s="3898" t="s">
        <v>2215</v>
      </c>
      <c r="BJ5" s="3898" t="s">
        <v>2216</v>
      </c>
      <c r="BK5" s="3898" t="s">
        <v>1106</v>
      </c>
      <c r="BL5" s="3898" t="s">
        <v>3856</v>
      </c>
      <c r="BM5" s="3898" t="s">
        <v>3857</v>
      </c>
      <c r="BN5" s="3898" t="s">
        <v>3858</v>
      </c>
      <c r="BO5" s="3898" t="s">
        <v>3859</v>
      </c>
      <c r="BP5" s="3898" t="s">
        <v>3860</v>
      </c>
      <c r="BQ5" s="3898" t="s">
        <v>529</v>
      </c>
      <c r="BR5" s="3898" t="s">
        <v>530</v>
      </c>
      <c r="BS5" s="3898" t="s">
        <v>548</v>
      </c>
      <c r="BT5" s="3898" t="s">
        <v>549</v>
      </c>
      <c r="BU5" s="3898" t="s">
        <v>550</v>
      </c>
      <c r="BV5" s="3898" t="s">
        <v>3861</v>
      </c>
      <c r="BW5" s="3898" t="s">
        <v>3862</v>
      </c>
      <c r="BX5" s="3898" t="s">
        <v>3863</v>
      </c>
      <c r="BY5" s="3898" t="s">
        <v>3864</v>
      </c>
      <c r="BZ5" s="3898" t="s">
        <v>3865</v>
      </c>
      <c r="CA5" s="3898" t="s">
        <v>551</v>
      </c>
      <c r="CB5" s="3898" t="s">
        <v>552</v>
      </c>
      <c r="CC5" s="3898" t="s">
        <v>553</v>
      </c>
      <c r="CD5" s="3898" t="s">
        <v>554</v>
      </c>
      <c r="CE5" s="3898" t="s">
        <v>555</v>
      </c>
      <c r="CF5" s="3898" t="s">
        <v>556</v>
      </c>
      <c r="CG5" s="3898" t="s">
        <v>557</v>
      </c>
      <c r="CH5" s="3898" t="s">
        <v>896</v>
      </c>
      <c r="CI5" s="3898" t="s">
        <v>897</v>
      </c>
      <c r="CJ5" s="3898" t="s">
        <v>898</v>
      </c>
      <c r="CK5" s="3898" t="s">
        <v>3871</v>
      </c>
      <c r="CL5" s="3898" t="s">
        <v>3872</v>
      </c>
      <c r="CM5" s="3898" t="s">
        <v>3873</v>
      </c>
      <c r="CN5" s="3898" t="s">
        <v>3874</v>
      </c>
      <c r="CO5" s="3898" t="s">
        <v>3875</v>
      </c>
      <c r="CP5" s="3898" t="s">
        <v>3866</v>
      </c>
      <c r="CQ5" s="3898" t="s">
        <v>3867</v>
      </c>
      <c r="CR5" s="3898" t="s">
        <v>3868</v>
      </c>
      <c r="CS5" s="3898" t="s">
        <v>3869</v>
      </c>
      <c r="CT5" s="3898" t="s">
        <v>3870</v>
      </c>
      <c r="CU5" s="3898" t="s">
        <v>3876</v>
      </c>
      <c r="CV5" s="3898" t="s">
        <v>3877</v>
      </c>
      <c r="CW5" s="3898" t="s">
        <v>3878</v>
      </c>
      <c r="CX5" s="3898" t="s">
        <v>3879</v>
      </c>
      <c r="CY5" s="3898" t="s">
        <v>3880</v>
      </c>
      <c r="CZ5" s="3898" t="s">
        <v>474</v>
      </c>
      <c r="DA5" s="3898" t="s">
        <v>475</v>
      </c>
      <c r="DB5" s="3898" t="s">
        <v>476</v>
      </c>
      <c r="DC5" s="3898" t="s">
        <v>477</v>
      </c>
      <c r="DD5" s="3898" t="s">
        <v>478</v>
      </c>
      <c r="DE5" s="3898" t="s">
        <v>3881</v>
      </c>
      <c r="DF5" s="3898" t="s">
        <v>3882</v>
      </c>
      <c r="DG5" s="3898" t="s">
        <v>3883</v>
      </c>
      <c r="DH5" s="3898" t="s">
        <v>3884</v>
      </c>
      <c r="DI5" s="3898" t="s">
        <v>3885</v>
      </c>
      <c r="DJ5" s="3898" t="s">
        <v>846</v>
      </c>
      <c r="DK5" s="3898" t="s">
        <v>847</v>
      </c>
      <c r="DL5" s="3898" t="s">
        <v>848</v>
      </c>
      <c r="DM5" s="3898" t="s">
        <v>849</v>
      </c>
      <c r="DN5" s="3898" t="s">
        <v>850</v>
      </c>
      <c r="DO5" s="3898" t="s">
        <v>851</v>
      </c>
      <c r="DP5" s="3898" t="s">
        <v>852</v>
      </c>
      <c r="DQ5" s="3898" t="s">
        <v>853</v>
      </c>
      <c r="DR5" s="3898" t="s">
        <v>854</v>
      </c>
      <c r="DS5" s="3898" t="s">
        <v>855</v>
      </c>
      <c r="DT5" s="3898" t="s">
        <v>3886</v>
      </c>
      <c r="DU5" s="3898" t="s">
        <v>3887</v>
      </c>
      <c r="DV5" s="3898" t="s">
        <v>3888</v>
      </c>
      <c r="DW5" s="3898" t="s">
        <v>3889</v>
      </c>
      <c r="DX5" s="3898" t="s">
        <v>3890</v>
      </c>
      <c r="DY5" s="3898" t="s">
        <v>3891</v>
      </c>
      <c r="DZ5" s="3898" t="s">
        <v>3892</v>
      </c>
      <c r="EA5" s="3898" t="s">
        <v>3893</v>
      </c>
      <c r="EB5" s="3898" t="s">
        <v>3894</v>
      </c>
      <c r="EC5" s="3898" t="s">
        <v>3895</v>
      </c>
      <c r="ED5" s="3898" t="s">
        <v>2319</v>
      </c>
      <c r="EE5" s="3898" t="s">
        <v>2320</v>
      </c>
      <c r="EF5" s="3898" t="s">
        <v>2321</v>
      </c>
      <c r="EG5" s="3898" t="s">
        <v>2322</v>
      </c>
      <c r="EH5" s="3898" t="s">
        <v>2323</v>
      </c>
      <c r="EI5" s="3898" t="s">
        <v>3896</v>
      </c>
      <c r="EJ5" s="3898" t="s">
        <v>3897</v>
      </c>
      <c r="EK5" s="3898" t="s">
        <v>3898</v>
      </c>
      <c r="EL5" s="3898" t="s">
        <v>3899</v>
      </c>
      <c r="EM5" s="3898" t="s">
        <v>3900</v>
      </c>
      <c r="EN5" s="3898" t="s">
        <v>3901</v>
      </c>
      <c r="EO5" s="3898" t="s">
        <v>3902</v>
      </c>
      <c r="EP5" s="3898" t="s">
        <v>3903</v>
      </c>
      <c r="EQ5" s="3898" t="s">
        <v>3904</v>
      </c>
      <c r="ER5" s="3898" t="s">
        <v>3905</v>
      </c>
      <c r="ES5" s="3898" t="s">
        <v>110</v>
      </c>
      <c r="ET5" s="3898" t="s">
        <v>1109</v>
      </c>
      <c r="EU5" s="3898" t="s">
        <v>1110</v>
      </c>
      <c r="EV5" s="3898" t="s">
        <v>1167</v>
      </c>
      <c r="EW5" s="3898" t="s">
        <v>1168</v>
      </c>
      <c r="EX5" s="3898" t="s">
        <v>125</v>
      </c>
      <c r="EY5" s="3898" t="s">
        <v>1169</v>
      </c>
      <c r="EZ5" s="3898" t="s">
        <v>1170</v>
      </c>
      <c r="FA5" s="3898" t="s">
        <v>1171</v>
      </c>
      <c r="FB5" s="3898" t="s">
        <v>1172</v>
      </c>
      <c r="FC5" s="3898" t="s">
        <v>3906</v>
      </c>
      <c r="FD5" s="3898" t="s">
        <v>3907</v>
      </c>
      <c r="FE5" s="3898" t="s">
        <v>3908</v>
      </c>
      <c r="FF5" s="3898" t="s">
        <v>3909</v>
      </c>
      <c r="FG5" s="3898" t="s">
        <v>3910</v>
      </c>
      <c r="FH5" s="3898" t="s">
        <v>124</v>
      </c>
      <c r="FI5" s="3898" t="s">
        <v>877</v>
      </c>
      <c r="FJ5" s="3898" t="s">
        <v>878</v>
      </c>
      <c r="FK5" s="3898" t="s">
        <v>879</v>
      </c>
      <c r="FL5" s="3898" t="s">
        <v>880</v>
      </c>
      <c r="FM5" s="3898" t="s">
        <v>3911</v>
      </c>
      <c r="FN5" s="3898" t="s">
        <v>3912</v>
      </c>
      <c r="FO5" s="3898" t="s">
        <v>3913</v>
      </c>
      <c r="FP5" s="3898" t="s">
        <v>3914</v>
      </c>
      <c r="FQ5" s="3898" t="s">
        <v>3915</v>
      </c>
      <c r="FR5" s="3898" t="s">
        <v>123</v>
      </c>
      <c r="FS5" s="3898" t="s">
        <v>881</v>
      </c>
      <c r="FT5" s="3898" t="s">
        <v>882</v>
      </c>
      <c r="FU5" s="3898" t="s">
        <v>883</v>
      </c>
      <c r="FV5" s="3898" t="s">
        <v>884</v>
      </c>
      <c r="FW5" s="3898" t="s">
        <v>776</v>
      </c>
      <c r="FX5" s="3898" t="s">
        <v>777</v>
      </c>
      <c r="FY5" s="3898" t="s">
        <v>778</v>
      </c>
      <c r="FZ5" s="3898" t="s">
        <v>779</v>
      </c>
      <c r="GA5" s="3898" t="s">
        <v>780</v>
      </c>
      <c r="GB5" s="3898" t="s">
        <v>921</v>
      </c>
      <c r="GC5" s="3898" t="s">
        <v>922</v>
      </c>
      <c r="GD5" s="3898" t="s">
        <v>923</v>
      </c>
      <c r="GE5" s="3898" t="s">
        <v>924</v>
      </c>
      <c r="GF5" s="3898" t="s">
        <v>2318</v>
      </c>
      <c r="GG5" s="3898" t="s">
        <v>1378</v>
      </c>
      <c r="GH5" s="3898" t="s">
        <v>1379</v>
      </c>
      <c r="GI5" s="3898" t="s">
        <v>1380</v>
      </c>
      <c r="GJ5" s="3898" t="s">
        <v>1381</v>
      </c>
      <c r="GK5" s="3898" t="s">
        <v>1382</v>
      </c>
      <c r="GL5" s="3898" t="s">
        <v>417</v>
      </c>
      <c r="GM5" s="3898" t="s">
        <v>418</v>
      </c>
      <c r="GN5" s="3898" t="s">
        <v>419</v>
      </c>
      <c r="GO5" s="3898" t="s">
        <v>420</v>
      </c>
      <c r="GP5" s="3898" t="s">
        <v>421</v>
      </c>
      <c r="GQ5" s="3898" t="s">
        <v>14</v>
      </c>
      <c r="GR5" s="3898" t="s">
        <v>15</v>
      </c>
      <c r="GS5" s="3898" t="s">
        <v>16</v>
      </c>
      <c r="GT5" s="3898" t="s">
        <v>17</v>
      </c>
      <c r="GU5" s="3898" t="s">
        <v>18</v>
      </c>
      <c r="GV5" s="3898" t="s">
        <v>213</v>
      </c>
      <c r="GW5" s="3898" t="s">
        <v>214</v>
      </c>
      <c r="GX5" s="3898" t="s">
        <v>215</v>
      </c>
      <c r="GY5" s="3898" t="s">
        <v>1727</v>
      </c>
      <c r="GZ5" s="3898" t="s">
        <v>1728</v>
      </c>
      <c r="HA5" s="3898" t="s">
        <v>1729</v>
      </c>
      <c r="HB5" s="3898" t="s">
        <v>563</v>
      </c>
      <c r="HC5" s="3898" t="s">
        <v>564</v>
      </c>
      <c r="HD5" s="3898" t="s">
        <v>565</v>
      </c>
      <c r="HE5" s="3898" t="s">
        <v>566</v>
      </c>
      <c r="HF5" s="3898" t="s">
        <v>19</v>
      </c>
      <c r="HG5" s="3898" t="s">
        <v>20</v>
      </c>
      <c r="HH5" s="3898" t="s">
        <v>21</v>
      </c>
      <c r="HI5" s="3898" t="s">
        <v>22</v>
      </c>
      <c r="HJ5" s="3898" t="s">
        <v>23</v>
      </c>
      <c r="HK5" s="3898" t="s">
        <v>473</v>
      </c>
      <c r="HL5" s="3898" t="s">
        <v>413</v>
      </c>
      <c r="HM5" s="3898" t="s">
        <v>414</v>
      </c>
      <c r="HN5" s="3898" t="s">
        <v>415</v>
      </c>
      <c r="HO5" s="3898" t="s">
        <v>416</v>
      </c>
      <c r="HP5" s="3898" t="s">
        <v>2107</v>
      </c>
      <c r="HQ5" s="3898" t="s">
        <v>2108</v>
      </c>
      <c r="HR5" s="3898" t="s">
        <v>2109</v>
      </c>
      <c r="HS5" s="3898" t="s">
        <v>1420</v>
      </c>
      <c r="HT5" s="3898" t="s">
        <v>1421</v>
      </c>
      <c r="HU5" s="3898" t="s">
        <v>24</v>
      </c>
      <c r="HV5" s="3898" t="s">
        <v>25</v>
      </c>
      <c r="HW5" s="3898" t="s">
        <v>26</v>
      </c>
      <c r="HX5" s="3898" t="s">
        <v>27</v>
      </c>
      <c r="HY5" s="389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8" t="s">
        <v>1559</v>
      </c>
      <c r="LH5" s="3898" t="s">
        <v>2405</v>
      </c>
      <c r="LI5" s="3898" t="s">
        <v>2406</v>
      </c>
      <c r="LJ5" s="3898" t="s">
        <v>368</v>
      </c>
      <c r="LK5" s="3898" t="s">
        <v>369</v>
      </c>
      <c r="LL5" s="3898" t="s">
        <v>370</v>
      </c>
      <c r="LM5" s="3898" t="s">
        <v>371</v>
      </c>
      <c r="LN5" s="3898" t="s">
        <v>372</v>
      </c>
      <c r="LO5" s="3898" t="s">
        <v>373</v>
      </c>
      <c r="LP5" s="3898" t="s">
        <v>374</v>
      </c>
      <c r="LQ5" s="3898" t="s">
        <v>194</v>
      </c>
      <c r="LR5" s="3898" t="s">
        <v>195</v>
      </c>
      <c r="LS5" s="3898" t="s">
        <v>196</v>
      </c>
      <c r="LT5" s="3898" t="s">
        <v>197</v>
      </c>
      <c r="LU5" s="3898" t="s">
        <v>198</v>
      </c>
      <c r="LV5" s="3898" t="s">
        <v>199</v>
      </c>
      <c r="LW5" s="3898" t="s">
        <v>200</v>
      </c>
      <c r="LX5" s="3898" t="s">
        <v>201</v>
      </c>
      <c r="LY5" s="3898" t="s">
        <v>202</v>
      </c>
      <c r="LZ5" s="3898" t="s">
        <v>203</v>
      </c>
      <c r="MA5" s="3898" t="s">
        <v>204</v>
      </c>
      <c r="MB5" s="3898" t="s">
        <v>205</v>
      </c>
      <c r="MC5" s="3898" t="s">
        <v>206</v>
      </c>
      <c r="MD5" s="3898" t="s">
        <v>207</v>
      </c>
      <c r="ME5" s="3898" t="s">
        <v>208</v>
      </c>
      <c r="MF5" s="3898"/>
      <c r="MG5" s="3898"/>
      <c r="MH5" s="3898"/>
      <c r="MI5" s="3898"/>
      <c r="MJ5" s="389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6" t="str">
        <f>IF(A49&gt;0,"Finish Row!","")</f>
        <v/>
      </c>
      <c r="B6" s="163" t="s">
        <v>6309</v>
      </c>
      <c r="D6" s="1585"/>
      <c r="E6" s="1585"/>
      <c r="F6" s="1585"/>
      <c r="G6" s="2851" t="s">
        <v>193</v>
      </c>
      <c r="H6" s="3830" t="s">
        <v>6311</v>
      </c>
      <c r="I6" s="3831"/>
      <c r="J6" s="3831"/>
      <c r="K6" s="1401" t="s">
        <v>3257</v>
      </c>
      <c r="L6" s="3933" t="str">
        <f>'Part I-Project Information'!$B$7</f>
        <v>2021 Core Application</v>
      </c>
      <c r="M6" s="3933"/>
      <c r="N6" s="3933"/>
      <c r="O6" s="1784" t="s">
        <v>6287</v>
      </c>
      <c r="P6" s="2852">
        <v>62300</v>
      </c>
      <c r="Q6" s="3900"/>
      <c r="R6" s="2651"/>
      <c r="S6" s="93"/>
      <c r="U6" s="93"/>
      <c r="X6" s="3898"/>
      <c r="Y6" s="3898"/>
      <c r="Z6" s="3898"/>
      <c r="AA6" s="3898"/>
      <c r="AB6" s="3898"/>
      <c r="AC6" s="3898"/>
      <c r="AD6" s="3898"/>
      <c r="AE6" s="3898"/>
      <c r="AF6" s="3898"/>
      <c r="AG6" s="3898"/>
      <c r="AH6" s="3898"/>
      <c r="AI6" s="3898"/>
      <c r="AJ6" s="3898"/>
      <c r="AK6" s="3898"/>
      <c r="AL6" s="3898"/>
      <c r="AM6" s="3898"/>
      <c r="AN6" s="3898"/>
      <c r="AO6" s="3898"/>
      <c r="AP6" s="3898"/>
      <c r="AQ6" s="3898"/>
      <c r="AR6" s="3898"/>
      <c r="AS6" s="3898"/>
      <c r="AT6" s="3898"/>
      <c r="AU6" s="3898"/>
      <c r="AV6" s="3898"/>
      <c r="AW6" s="3898"/>
      <c r="AX6" s="3898"/>
      <c r="AY6" s="3898"/>
      <c r="AZ6" s="3898"/>
      <c r="BA6" s="3898"/>
      <c r="BB6" s="3898"/>
      <c r="BC6" s="3898"/>
      <c r="BD6" s="3898"/>
      <c r="BE6" s="3898"/>
      <c r="BF6" s="3898"/>
      <c r="BG6" s="3898"/>
      <c r="BH6" s="3898"/>
      <c r="BI6" s="3898"/>
      <c r="BJ6" s="3898"/>
      <c r="BK6" s="3898"/>
      <c r="BL6" s="3898"/>
      <c r="BM6" s="3898"/>
      <c r="BN6" s="3898"/>
      <c r="BO6" s="3898"/>
      <c r="BP6" s="3898"/>
      <c r="BQ6" s="3898"/>
      <c r="BR6" s="3898"/>
      <c r="BS6" s="3898"/>
      <c r="BT6" s="3898"/>
      <c r="BU6" s="3898"/>
      <c r="BV6" s="3898"/>
      <c r="BW6" s="3898"/>
      <c r="BX6" s="3898"/>
      <c r="BY6" s="3898"/>
      <c r="BZ6" s="3898"/>
      <c r="CA6" s="3898"/>
      <c r="CB6" s="3898"/>
      <c r="CC6" s="3898"/>
      <c r="CD6" s="3898"/>
      <c r="CE6" s="3898"/>
      <c r="CF6" s="3898"/>
      <c r="CG6" s="3898"/>
      <c r="CH6" s="3898"/>
      <c r="CI6" s="3898"/>
      <c r="CJ6" s="3898"/>
      <c r="CK6" s="3898"/>
      <c r="CL6" s="3898"/>
      <c r="CM6" s="3898"/>
      <c r="CN6" s="3898"/>
      <c r="CO6" s="3898"/>
      <c r="CP6" s="3898"/>
      <c r="CQ6" s="3898"/>
      <c r="CR6" s="3898"/>
      <c r="CS6" s="3898"/>
      <c r="CT6" s="3898"/>
      <c r="CU6" s="3898"/>
      <c r="CV6" s="3898"/>
      <c r="CW6" s="3898"/>
      <c r="CX6" s="3898"/>
      <c r="CY6" s="3898"/>
      <c r="CZ6" s="3898"/>
      <c r="DA6" s="3898"/>
      <c r="DB6" s="3898"/>
      <c r="DC6" s="3898"/>
      <c r="DD6" s="3898"/>
      <c r="DE6" s="3898"/>
      <c r="DF6" s="3898"/>
      <c r="DG6" s="3898"/>
      <c r="DH6" s="3898"/>
      <c r="DI6" s="3898"/>
      <c r="DJ6" s="3898"/>
      <c r="DK6" s="3898"/>
      <c r="DL6" s="3898"/>
      <c r="DM6" s="3898"/>
      <c r="DN6" s="3898"/>
      <c r="DO6" s="3898"/>
      <c r="DP6" s="3898"/>
      <c r="DQ6" s="3898"/>
      <c r="DR6" s="3898"/>
      <c r="DS6" s="3898"/>
      <c r="DT6" s="3898"/>
      <c r="DU6" s="3898"/>
      <c r="DV6" s="3898"/>
      <c r="DW6" s="3898"/>
      <c r="DX6" s="3898"/>
      <c r="DY6" s="3898"/>
      <c r="DZ6" s="3898"/>
      <c r="EA6" s="3898"/>
      <c r="EB6" s="3898"/>
      <c r="EC6" s="3898"/>
      <c r="ED6" s="3898"/>
      <c r="EE6" s="3898"/>
      <c r="EF6" s="3898"/>
      <c r="EG6" s="3898"/>
      <c r="EH6" s="3898"/>
      <c r="EI6" s="3898"/>
      <c r="EJ6" s="3898"/>
      <c r="EK6" s="3898"/>
      <c r="EL6" s="3898"/>
      <c r="EM6" s="3898"/>
      <c r="EN6" s="3898"/>
      <c r="EO6" s="3898"/>
      <c r="EP6" s="3898"/>
      <c r="EQ6" s="3898"/>
      <c r="ER6" s="3898"/>
      <c r="ES6" s="3898"/>
      <c r="ET6" s="3898"/>
      <c r="EU6" s="3898"/>
      <c r="EV6" s="3898"/>
      <c r="EW6" s="3898"/>
      <c r="EX6" s="3898"/>
      <c r="EY6" s="3898"/>
      <c r="EZ6" s="3898"/>
      <c r="FA6" s="3898"/>
      <c r="FB6" s="3898"/>
      <c r="FC6" s="3898"/>
      <c r="FD6" s="3898"/>
      <c r="FE6" s="3898"/>
      <c r="FF6" s="3898"/>
      <c r="FG6" s="3898"/>
      <c r="FH6" s="3898"/>
      <c r="FI6" s="3898"/>
      <c r="FJ6" s="3898"/>
      <c r="FK6" s="3898"/>
      <c r="FL6" s="3898"/>
      <c r="FM6" s="3898"/>
      <c r="FN6" s="3898"/>
      <c r="FO6" s="3898"/>
      <c r="FP6" s="3898"/>
      <c r="FQ6" s="3898"/>
      <c r="FR6" s="3898"/>
      <c r="FS6" s="3898"/>
      <c r="FT6" s="3898"/>
      <c r="FU6" s="3898"/>
      <c r="FV6" s="3898"/>
      <c r="FW6" s="3898"/>
      <c r="FX6" s="3898"/>
      <c r="FY6" s="3898"/>
      <c r="FZ6" s="3898"/>
      <c r="GA6" s="3898"/>
      <c r="GB6" s="3898"/>
      <c r="GC6" s="3898"/>
      <c r="GD6" s="3898"/>
      <c r="GE6" s="3898"/>
      <c r="GF6" s="3898"/>
      <c r="GG6" s="3898"/>
      <c r="GH6" s="3898"/>
      <c r="GI6" s="3898"/>
      <c r="GJ6" s="3898"/>
      <c r="GK6" s="3898"/>
      <c r="GL6" s="3898"/>
      <c r="GM6" s="3898"/>
      <c r="GN6" s="3898"/>
      <c r="GO6" s="3898"/>
      <c r="GP6" s="3898"/>
      <c r="GQ6" s="3898"/>
      <c r="GR6" s="3898"/>
      <c r="GS6" s="3898"/>
      <c r="GT6" s="3898"/>
      <c r="GU6" s="3898"/>
      <c r="GV6" s="3898"/>
      <c r="GW6" s="3898"/>
      <c r="GX6" s="3898"/>
      <c r="GY6" s="3898"/>
      <c r="GZ6" s="3898"/>
      <c r="HA6" s="3898"/>
      <c r="HB6" s="3898"/>
      <c r="HC6" s="3898"/>
      <c r="HD6" s="3898"/>
      <c r="HE6" s="3898"/>
      <c r="HF6" s="3898"/>
      <c r="HG6" s="3898"/>
      <c r="HH6" s="3898"/>
      <c r="HI6" s="3898"/>
      <c r="HJ6" s="3898"/>
      <c r="HK6" s="3898"/>
      <c r="HL6" s="3898"/>
      <c r="HM6" s="3898"/>
      <c r="HN6" s="3898"/>
      <c r="HO6" s="3898"/>
      <c r="HP6" s="3898"/>
      <c r="HQ6" s="3898"/>
      <c r="HR6" s="3898"/>
      <c r="HS6" s="3898"/>
      <c r="HT6" s="3898"/>
      <c r="HU6" s="3898"/>
      <c r="HV6" s="3898"/>
      <c r="HW6" s="3898"/>
      <c r="HX6" s="3898"/>
      <c r="HY6" s="389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8"/>
      <c r="LH6" s="3898"/>
      <c r="LI6" s="3898"/>
      <c r="LJ6" s="3898"/>
      <c r="LK6" s="3898"/>
      <c r="LL6" s="3898"/>
      <c r="LM6" s="3898"/>
      <c r="LN6" s="3898"/>
      <c r="LO6" s="3898"/>
      <c r="LP6" s="3898"/>
      <c r="LQ6" s="3898"/>
      <c r="LR6" s="3898"/>
      <c r="LS6" s="3898"/>
      <c r="LT6" s="3898"/>
      <c r="LU6" s="3898"/>
      <c r="LV6" s="3898"/>
      <c r="LW6" s="3898"/>
      <c r="LX6" s="3898"/>
      <c r="LY6" s="3898"/>
      <c r="LZ6" s="3898"/>
      <c r="MA6" s="3898"/>
      <c r="MB6" s="3898"/>
      <c r="MC6" s="3898"/>
      <c r="MD6" s="3898"/>
      <c r="ME6" s="3898"/>
      <c r="MF6" s="3898"/>
      <c r="MG6" s="3898"/>
      <c r="MH6" s="3898"/>
      <c r="MI6" s="3898"/>
      <c r="MJ6" s="3898"/>
      <c r="MK6" s="3915" t="s">
        <v>3160</v>
      </c>
      <c r="ML6" s="3915" t="s">
        <v>3161</v>
      </c>
      <c r="MM6" s="3915" t="s">
        <v>3162</v>
      </c>
      <c r="MN6" s="3915" t="s">
        <v>3163</v>
      </c>
      <c r="MO6" s="3915" t="s">
        <v>3164</v>
      </c>
      <c r="MP6" s="3898" t="s">
        <v>6585</v>
      </c>
      <c r="MQ6" s="3898" t="s">
        <v>6586</v>
      </c>
      <c r="MR6" s="3898" t="s">
        <v>6587</v>
      </c>
      <c r="MS6" s="3898" t="s">
        <v>6588</v>
      </c>
      <c r="MT6" s="3898"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6"/>
      <c r="B7" s="29" t="s">
        <v>6310</v>
      </c>
      <c r="E7" s="4"/>
      <c r="G7" s="2853" t="s">
        <v>2772</v>
      </c>
      <c r="I7" s="3921" t="s">
        <v>4278</v>
      </c>
      <c r="J7" s="1401" t="s">
        <v>765</v>
      </c>
      <c r="K7" s="1401" t="s">
        <v>3307</v>
      </c>
      <c r="L7" s="3933"/>
      <c r="M7" s="3933"/>
      <c r="N7" s="3933"/>
      <c r="O7" s="1785" t="s">
        <v>6286</v>
      </c>
      <c r="P7" s="2854">
        <v>44197</v>
      </c>
      <c r="Q7" s="3900"/>
      <c r="R7" s="3912" t="s">
        <v>2547</v>
      </c>
      <c r="S7" s="3912"/>
      <c r="X7" s="3898"/>
      <c r="Y7" s="3898"/>
      <c r="Z7" s="3898"/>
      <c r="AA7" s="3898"/>
      <c r="AB7" s="3898"/>
      <c r="AC7" s="3898"/>
      <c r="AD7" s="3898"/>
      <c r="AE7" s="3898"/>
      <c r="AF7" s="3898"/>
      <c r="AG7" s="3898"/>
      <c r="AH7" s="3898"/>
      <c r="AI7" s="3898"/>
      <c r="AJ7" s="3898"/>
      <c r="AK7" s="3898"/>
      <c r="AL7" s="3898"/>
      <c r="AM7" s="3898"/>
      <c r="AN7" s="3898"/>
      <c r="AO7" s="3898"/>
      <c r="AP7" s="3898"/>
      <c r="AQ7" s="3898"/>
      <c r="AR7" s="3898"/>
      <c r="AS7" s="3898"/>
      <c r="AT7" s="3898"/>
      <c r="AU7" s="3898"/>
      <c r="AV7" s="3898"/>
      <c r="AW7" s="3898"/>
      <c r="AX7" s="3898"/>
      <c r="AY7" s="3898"/>
      <c r="AZ7" s="3898"/>
      <c r="BA7" s="3898"/>
      <c r="BB7" s="3898"/>
      <c r="BC7" s="3898"/>
      <c r="BD7" s="3898"/>
      <c r="BE7" s="3898"/>
      <c r="BF7" s="3898"/>
      <c r="BG7" s="3898"/>
      <c r="BH7" s="3898"/>
      <c r="BI7" s="3898"/>
      <c r="BJ7" s="3898"/>
      <c r="BK7" s="3898"/>
      <c r="BL7" s="3898"/>
      <c r="BM7" s="3898"/>
      <c r="BN7" s="3898"/>
      <c r="BO7" s="3898"/>
      <c r="BP7" s="3898"/>
      <c r="BQ7" s="3898"/>
      <c r="BR7" s="3898"/>
      <c r="BS7" s="3898"/>
      <c r="BT7" s="3898"/>
      <c r="BU7" s="3898"/>
      <c r="BV7" s="3898"/>
      <c r="BW7" s="3898"/>
      <c r="BX7" s="3898"/>
      <c r="BY7" s="3898"/>
      <c r="BZ7" s="3898"/>
      <c r="CA7" s="3898"/>
      <c r="CB7" s="3898"/>
      <c r="CC7" s="3898"/>
      <c r="CD7" s="3898"/>
      <c r="CE7" s="3898"/>
      <c r="CF7" s="3898"/>
      <c r="CG7" s="3898"/>
      <c r="CH7" s="3898"/>
      <c r="CI7" s="3898"/>
      <c r="CJ7" s="3898"/>
      <c r="CK7" s="3898"/>
      <c r="CL7" s="3898"/>
      <c r="CM7" s="3898"/>
      <c r="CN7" s="3898"/>
      <c r="CO7" s="3898"/>
      <c r="CP7" s="3898"/>
      <c r="CQ7" s="3898"/>
      <c r="CR7" s="3898"/>
      <c r="CS7" s="3898"/>
      <c r="CT7" s="3898"/>
      <c r="CU7" s="3898"/>
      <c r="CV7" s="3898"/>
      <c r="CW7" s="3898"/>
      <c r="CX7" s="3898"/>
      <c r="CY7" s="3898"/>
      <c r="CZ7" s="3898"/>
      <c r="DA7" s="3898"/>
      <c r="DB7" s="3898"/>
      <c r="DC7" s="3898"/>
      <c r="DD7" s="3898"/>
      <c r="DE7" s="3898"/>
      <c r="DF7" s="3898"/>
      <c r="DG7" s="3898"/>
      <c r="DH7" s="3898"/>
      <c r="DI7" s="3898"/>
      <c r="DJ7" s="3898"/>
      <c r="DK7" s="3898"/>
      <c r="DL7" s="3898"/>
      <c r="DM7" s="3898"/>
      <c r="DN7" s="3898"/>
      <c r="DO7" s="3898"/>
      <c r="DP7" s="3898"/>
      <c r="DQ7" s="3898"/>
      <c r="DR7" s="3898"/>
      <c r="DS7" s="3898"/>
      <c r="DT7" s="3898"/>
      <c r="DU7" s="3898"/>
      <c r="DV7" s="3898"/>
      <c r="DW7" s="3898"/>
      <c r="DX7" s="3898"/>
      <c r="DY7" s="3898"/>
      <c r="DZ7" s="3898"/>
      <c r="EA7" s="3898"/>
      <c r="EB7" s="3898"/>
      <c r="EC7" s="3898"/>
      <c r="ED7" s="3898"/>
      <c r="EE7" s="3898"/>
      <c r="EF7" s="3898"/>
      <c r="EG7" s="3898"/>
      <c r="EH7" s="3898"/>
      <c r="EI7" s="3898"/>
      <c r="EJ7" s="3898"/>
      <c r="EK7" s="3898"/>
      <c r="EL7" s="3898"/>
      <c r="EM7" s="3898"/>
      <c r="EN7" s="3898"/>
      <c r="EO7" s="3898"/>
      <c r="EP7" s="3898"/>
      <c r="EQ7" s="3898"/>
      <c r="ER7" s="3898"/>
      <c r="ES7" s="3898"/>
      <c r="ET7" s="3898"/>
      <c r="EU7" s="3898"/>
      <c r="EV7" s="3898"/>
      <c r="EW7" s="3898"/>
      <c r="EX7" s="3898"/>
      <c r="EY7" s="3898"/>
      <c r="EZ7" s="3898"/>
      <c r="FA7" s="3898"/>
      <c r="FB7" s="3898"/>
      <c r="FC7" s="3898"/>
      <c r="FD7" s="3898"/>
      <c r="FE7" s="3898"/>
      <c r="FF7" s="3898"/>
      <c r="FG7" s="3898"/>
      <c r="FH7" s="3898"/>
      <c r="FI7" s="3898"/>
      <c r="FJ7" s="3898"/>
      <c r="FK7" s="3898"/>
      <c r="FL7" s="3898"/>
      <c r="FM7" s="3898"/>
      <c r="FN7" s="3898"/>
      <c r="FO7" s="3898"/>
      <c r="FP7" s="3898"/>
      <c r="FQ7" s="3898"/>
      <c r="FR7" s="3898"/>
      <c r="FS7" s="3898"/>
      <c r="FT7" s="3898"/>
      <c r="FU7" s="3898"/>
      <c r="FV7" s="3898"/>
      <c r="FW7" s="3898"/>
      <c r="FX7" s="3898"/>
      <c r="FY7" s="3898"/>
      <c r="FZ7" s="3898"/>
      <c r="GA7" s="3898"/>
      <c r="GB7" s="3898"/>
      <c r="GC7" s="3898"/>
      <c r="GD7" s="3898"/>
      <c r="GE7" s="3898"/>
      <c r="GF7" s="3898"/>
      <c r="GG7" s="3898"/>
      <c r="GH7" s="3898"/>
      <c r="GI7" s="3898"/>
      <c r="GJ7" s="3898"/>
      <c r="GK7" s="3898"/>
      <c r="GL7" s="3898"/>
      <c r="GM7" s="3898"/>
      <c r="GN7" s="3898"/>
      <c r="GO7" s="3898"/>
      <c r="GP7" s="3898"/>
      <c r="GQ7" s="3898"/>
      <c r="GR7" s="3898"/>
      <c r="GS7" s="3898"/>
      <c r="GT7" s="3898"/>
      <c r="GU7" s="3898"/>
      <c r="GV7" s="3898"/>
      <c r="GW7" s="3898"/>
      <c r="GX7" s="3898"/>
      <c r="GY7" s="3898"/>
      <c r="GZ7" s="3898"/>
      <c r="HA7" s="3898"/>
      <c r="HB7" s="3898"/>
      <c r="HC7" s="3898"/>
      <c r="HD7" s="3898"/>
      <c r="HE7" s="3898"/>
      <c r="HF7" s="3898"/>
      <c r="HG7" s="3898"/>
      <c r="HH7" s="3898"/>
      <c r="HI7" s="3898"/>
      <c r="HJ7" s="3898"/>
      <c r="HK7" s="3898"/>
      <c r="HL7" s="3898"/>
      <c r="HM7" s="3898"/>
      <c r="HN7" s="3898"/>
      <c r="HO7" s="3898"/>
      <c r="HP7" s="3898"/>
      <c r="HQ7" s="3898"/>
      <c r="HR7" s="3898"/>
      <c r="HS7" s="3898"/>
      <c r="HT7" s="3898"/>
      <c r="HU7" s="3898"/>
      <c r="HV7" s="3898"/>
      <c r="HW7" s="3898"/>
      <c r="HX7" s="3898"/>
      <c r="HY7" s="389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8"/>
      <c r="LH7" s="3898"/>
      <c r="LI7" s="3898"/>
      <c r="LJ7" s="3898"/>
      <c r="LK7" s="3898"/>
      <c r="LL7" s="3898"/>
      <c r="LM7" s="3898"/>
      <c r="LN7" s="3898"/>
      <c r="LO7" s="3898"/>
      <c r="LP7" s="3898"/>
      <c r="LQ7" s="3898"/>
      <c r="LR7" s="3898"/>
      <c r="LS7" s="3898"/>
      <c r="LT7" s="3898"/>
      <c r="LU7" s="3898"/>
      <c r="LV7" s="3898"/>
      <c r="LW7" s="3898"/>
      <c r="LX7" s="3898"/>
      <c r="LY7" s="3898"/>
      <c r="LZ7" s="3898"/>
      <c r="MA7" s="3898"/>
      <c r="MB7" s="3898"/>
      <c r="MC7" s="3898"/>
      <c r="MD7" s="3898"/>
      <c r="ME7" s="3898"/>
      <c r="MF7" s="3898"/>
      <c r="MG7" s="3898"/>
      <c r="MH7" s="3898"/>
      <c r="MI7" s="3898"/>
      <c r="MJ7" s="3898"/>
      <c r="MK7" s="3915"/>
      <c r="ML7" s="3915"/>
      <c r="MM7" s="3915"/>
      <c r="MN7" s="3915"/>
      <c r="MO7" s="3915"/>
      <c r="MP7" s="3898"/>
      <c r="MQ7" s="3898"/>
      <c r="MR7" s="3898"/>
      <c r="MS7" s="3898"/>
      <c r="MT7" s="389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6"/>
      <c r="B8" s="2647" t="s">
        <v>3918</v>
      </c>
      <c r="C8" s="1"/>
      <c r="E8" s="1"/>
      <c r="F8" s="1"/>
      <c r="I8" s="3921"/>
      <c r="J8" s="1401" t="s">
        <v>766</v>
      </c>
      <c r="K8" s="1401" t="s">
        <v>3308</v>
      </c>
      <c r="L8" s="762"/>
      <c r="M8" s="762"/>
      <c r="N8" s="1783" t="s">
        <v>6806</v>
      </c>
      <c r="O8" s="3923" t="s">
        <v>6877</v>
      </c>
      <c r="P8" s="3924"/>
      <c r="Q8" s="3900"/>
      <c r="R8" s="763"/>
      <c r="S8" s="767" t="s">
        <v>2544</v>
      </c>
      <c r="T8" s="405"/>
      <c r="W8" s="406"/>
      <c r="X8" s="3898"/>
      <c r="Y8" s="3898"/>
      <c r="Z8" s="3898"/>
      <c r="AA8" s="3898"/>
      <c r="AB8" s="3898"/>
      <c r="AC8" s="3898"/>
      <c r="AD8" s="3898"/>
      <c r="AE8" s="3898"/>
      <c r="AF8" s="3898"/>
      <c r="AG8" s="3898"/>
      <c r="AH8" s="3898"/>
      <c r="AI8" s="3898"/>
      <c r="AJ8" s="3898"/>
      <c r="AK8" s="3898"/>
      <c r="AL8" s="3898"/>
      <c r="AM8" s="3898"/>
      <c r="AN8" s="3898"/>
      <c r="AO8" s="3898"/>
      <c r="AP8" s="3898"/>
      <c r="AQ8" s="3898"/>
      <c r="AR8" s="3898"/>
      <c r="AS8" s="3898"/>
      <c r="AT8" s="3898"/>
      <c r="AU8" s="3898"/>
      <c r="AV8" s="3898"/>
      <c r="AW8" s="3898"/>
      <c r="AX8" s="3898"/>
      <c r="AY8" s="3898"/>
      <c r="AZ8" s="3898"/>
      <c r="BA8" s="3898"/>
      <c r="BB8" s="3898"/>
      <c r="BC8" s="3898"/>
      <c r="BD8" s="3898"/>
      <c r="BE8" s="3898"/>
      <c r="BF8" s="3898"/>
      <c r="BG8" s="3898"/>
      <c r="BH8" s="3898"/>
      <c r="BI8" s="3898"/>
      <c r="BJ8" s="3898"/>
      <c r="BK8" s="3898"/>
      <c r="BL8" s="3898"/>
      <c r="BM8" s="3898"/>
      <c r="BN8" s="3898"/>
      <c r="BO8" s="3898"/>
      <c r="BP8" s="3898"/>
      <c r="BQ8" s="3898"/>
      <c r="BR8" s="3898"/>
      <c r="BS8" s="3898"/>
      <c r="BT8" s="3898"/>
      <c r="BU8" s="3898"/>
      <c r="BV8" s="3898"/>
      <c r="BW8" s="3898"/>
      <c r="BX8" s="3898"/>
      <c r="BY8" s="3898"/>
      <c r="BZ8" s="3898"/>
      <c r="CA8" s="3898"/>
      <c r="CB8" s="3898"/>
      <c r="CC8" s="3898"/>
      <c r="CD8" s="3898"/>
      <c r="CE8" s="3898"/>
      <c r="CF8" s="3898"/>
      <c r="CG8" s="3898"/>
      <c r="CH8" s="3898"/>
      <c r="CI8" s="3898"/>
      <c r="CJ8" s="3898"/>
      <c r="CK8" s="3898"/>
      <c r="CL8" s="3898"/>
      <c r="CM8" s="3898"/>
      <c r="CN8" s="3898"/>
      <c r="CO8" s="3898"/>
      <c r="CP8" s="3898"/>
      <c r="CQ8" s="3898"/>
      <c r="CR8" s="3898"/>
      <c r="CS8" s="3898"/>
      <c r="CT8" s="3898"/>
      <c r="CU8" s="3898"/>
      <c r="CV8" s="3898"/>
      <c r="CW8" s="3898"/>
      <c r="CX8" s="3898"/>
      <c r="CY8" s="3898"/>
      <c r="CZ8" s="3898"/>
      <c r="DA8" s="3898"/>
      <c r="DB8" s="3898"/>
      <c r="DC8" s="3898"/>
      <c r="DD8" s="3898"/>
      <c r="DE8" s="3898"/>
      <c r="DF8" s="3898"/>
      <c r="DG8" s="3898"/>
      <c r="DH8" s="3898"/>
      <c r="DI8" s="3898"/>
      <c r="DJ8" s="3898"/>
      <c r="DK8" s="3898"/>
      <c r="DL8" s="3898"/>
      <c r="DM8" s="3898"/>
      <c r="DN8" s="3898"/>
      <c r="DO8" s="3898"/>
      <c r="DP8" s="3898"/>
      <c r="DQ8" s="3898"/>
      <c r="DR8" s="3898"/>
      <c r="DS8" s="3898"/>
      <c r="DT8" s="3898"/>
      <c r="DU8" s="3898"/>
      <c r="DV8" s="3898"/>
      <c r="DW8" s="3898"/>
      <c r="DX8" s="3898"/>
      <c r="DY8" s="3898"/>
      <c r="DZ8" s="3898"/>
      <c r="EA8" s="3898"/>
      <c r="EB8" s="3898"/>
      <c r="EC8" s="3898"/>
      <c r="ED8" s="3898"/>
      <c r="EE8" s="3898"/>
      <c r="EF8" s="3898"/>
      <c r="EG8" s="3898"/>
      <c r="EH8" s="3898"/>
      <c r="EI8" s="3898"/>
      <c r="EJ8" s="3898"/>
      <c r="EK8" s="3898"/>
      <c r="EL8" s="3898"/>
      <c r="EM8" s="3898"/>
      <c r="EN8" s="3898"/>
      <c r="EO8" s="3898"/>
      <c r="EP8" s="3898"/>
      <c r="EQ8" s="3898"/>
      <c r="ER8" s="3898"/>
      <c r="ES8" s="3898"/>
      <c r="ET8" s="3898"/>
      <c r="EU8" s="3898"/>
      <c r="EV8" s="3898"/>
      <c r="EW8" s="3898"/>
      <c r="EX8" s="3898"/>
      <c r="EY8" s="3898"/>
      <c r="EZ8" s="3898"/>
      <c r="FA8" s="3898"/>
      <c r="FB8" s="3898"/>
      <c r="FC8" s="3898"/>
      <c r="FD8" s="3898"/>
      <c r="FE8" s="3898"/>
      <c r="FF8" s="3898"/>
      <c r="FG8" s="3898"/>
      <c r="FH8" s="3898"/>
      <c r="FI8" s="3898"/>
      <c r="FJ8" s="3898"/>
      <c r="FK8" s="3898"/>
      <c r="FL8" s="3898"/>
      <c r="FM8" s="3898"/>
      <c r="FN8" s="3898"/>
      <c r="FO8" s="3898"/>
      <c r="FP8" s="3898"/>
      <c r="FQ8" s="3898"/>
      <c r="FR8" s="3898"/>
      <c r="FS8" s="3898"/>
      <c r="FT8" s="3898"/>
      <c r="FU8" s="3898"/>
      <c r="FV8" s="3898"/>
      <c r="FW8" s="3898"/>
      <c r="FX8" s="3898"/>
      <c r="FY8" s="3898"/>
      <c r="FZ8" s="3898"/>
      <c r="GA8" s="3898"/>
      <c r="GB8" s="3898"/>
      <c r="GC8" s="3898"/>
      <c r="GD8" s="3898"/>
      <c r="GE8" s="3898"/>
      <c r="GF8" s="3898"/>
      <c r="GG8" s="3898"/>
      <c r="GH8" s="3898"/>
      <c r="GI8" s="3898"/>
      <c r="GJ8" s="3898"/>
      <c r="GK8" s="3898"/>
      <c r="GL8" s="3898"/>
      <c r="GM8" s="3898"/>
      <c r="GN8" s="3898"/>
      <c r="GO8" s="3898"/>
      <c r="GP8" s="3898"/>
      <c r="GQ8" s="3898"/>
      <c r="GR8" s="3898"/>
      <c r="GS8" s="3898"/>
      <c r="GT8" s="3898"/>
      <c r="GU8" s="3898"/>
      <c r="GV8" s="3898"/>
      <c r="GW8" s="3898"/>
      <c r="GX8" s="3898"/>
      <c r="GY8" s="3898"/>
      <c r="GZ8" s="3898"/>
      <c r="HA8" s="3898"/>
      <c r="HB8" s="3898"/>
      <c r="HC8" s="3898"/>
      <c r="HD8" s="3898"/>
      <c r="HE8" s="3898"/>
      <c r="HF8" s="3898"/>
      <c r="HG8" s="3898"/>
      <c r="HH8" s="3898"/>
      <c r="HI8" s="3898"/>
      <c r="HJ8" s="3898"/>
      <c r="HK8" s="3898"/>
      <c r="HL8" s="3898"/>
      <c r="HM8" s="3898"/>
      <c r="HN8" s="3898"/>
      <c r="HO8" s="3898"/>
      <c r="HP8" s="3898"/>
      <c r="HQ8" s="3898"/>
      <c r="HR8" s="3898"/>
      <c r="HS8" s="3898"/>
      <c r="HT8" s="3898"/>
      <c r="HU8" s="3898"/>
      <c r="HV8" s="3898"/>
      <c r="HW8" s="3898"/>
      <c r="HX8" s="3898"/>
      <c r="HY8" s="389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98"/>
      <c r="LH8" s="3898"/>
      <c r="LI8" s="3898"/>
      <c r="LJ8" s="3898"/>
      <c r="LK8" s="3898"/>
      <c r="LL8" s="3898"/>
      <c r="LM8" s="3898"/>
      <c r="LN8" s="3898"/>
      <c r="LO8" s="3898"/>
      <c r="LP8" s="3898"/>
      <c r="LQ8" s="3898"/>
      <c r="LR8" s="3898"/>
      <c r="LS8" s="3898"/>
      <c r="LT8" s="3898"/>
      <c r="LU8" s="3898"/>
      <c r="LV8" s="3898"/>
      <c r="LW8" s="3898"/>
      <c r="LX8" s="3898"/>
      <c r="LY8" s="3898"/>
      <c r="LZ8" s="3898"/>
      <c r="MA8" s="3898"/>
      <c r="MB8" s="3898"/>
      <c r="MC8" s="3898"/>
      <c r="MD8" s="3898"/>
      <c r="ME8" s="3898"/>
      <c r="MF8" s="3898"/>
      <c r="MG8" s="3898"/>
      <c r="MH8" s="3898"/>
      <c r="MI8" s="3898"/>
      <c r="MJ8" s="3898"/>
      <c r="MK8" s="3915"/>
      <c r="ML8" s="3915"/>
      <c r="MM8" s="3915"/>
      <c r="MN8" s="3915"/>
      <c r="MO8" s="3915"/>
      <c r="MP8" s="3898"/>
      <c r="MQ8" s="3898"/>
      <c r="MR8" s="3898"/>
      <c r="MS8" s="3898"/>
      <c r="MT8" s="389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6"/>
      <c r="B9" s="1190" t="s">
        <v>3919</v>
      </c>
      <c r="C9" s="1401" t="s">
        <v>164</v>
      </c>
      <c r="D9" s="1401" t="s">
        <v>519</v>
      </c>
      <c r="E9" s="1401" t="s">
        <v>1417</v>
      </c>
      <c r="F9" s="1401" t="s">
        <v>1417</v>
      </c>
      <c r="G9" s="3921" t="s">
        <v>6306</v>
      </c>
      <c r="H9" s="2651" t="s">
        <v>3442</v>
      </c>
      <c r="I9" s="3921"/>
      <c r="J9" s="3917" t="s">
        <v>6297</v>
      </c>
      <c r="K9" s="1401" t="s">
        <v>2296</v>
      </c>
      <c r="L9" s="3913" t="s">
        <v>138</v>
      </c>
      <c r="M9" s="3914"/>
      <c r="N9" s="1401" t="s">
        <v>2262</v>
      </c>
      <c r="O9" s="1401" t="s">
        <v>6809</v>
      </c>
      <c r="P9" s="3919" t="s">
        <v>6533</v>
      </c>
      <c r="Q9" s="3900"/>
      <c r="R9" s="1401" t="s">
        <v>2543</v>
      </c>
      <c r="S9" s="1401" t="s">
        <v>2545</v>
      </c>
      <c r="T9" s="407"/>
      <c r="W9" s="408"/>
      <c r="X9" s="3898"/>
      <c r="Y9" s="3898"/>
      <c r="Z9" s="3898"/>
      <c r="AA9" s="3898"/>
      <c r="AB9" s="3898"/>
      <c r="AC9" s="3898"/>
      <c r="AD9" s="3898"/>
      <c r="AE9" s="3898"/>
      <c r="AF9" s="3898"/>
      <c r="AG9" s="3898"/>
      <c r="AH9" s="3898"/>
      <c r="AI9" s="3898"/>
      <c r="AJ9" s="3898"/>
      <c r="AK9" s="3898"/>
      <c r="AL9" s="3898"/>
      <c r="AM9" s="3898"/>
      <c r="AN9" s="3898"/>
      <c r="AO9" s="3898"/>
      <c r="AP9" s="3898"/>
      <c r="AQ9" s="3898"/>
      <c r="AR9" s="3898"/>
      <c r="AS9" s="3898"/>
      <c r="AT9" s="3898"/>
      <c r="AU9" s="3898"/>
      <c r="AV9" s="3898"/>
      <c r="AW9" s="3898"/>
      <c r="AX9" s="3898"/>
      <c r="AY9" s="3898"/>
      <c r="AZ9" s="3898"/>
      <c r="BA9" s="3898"/>
      <c r="BB9" s="3898"/>
      <c r="BC9" s="3898"/>
      <c r="BD9" s="3898"/>
      <c r="BE9" s="3898"/>
      <c r="BF9" s="3898"/>
      <c r="BG9" s="3898"/>
      <c r="BH9" s="3898"/>
      <c r="BI9" s="3898"/>
      <c r="BJ9" s="3898"/>
      <c r="BK9" s="3898"/>
      <c r="BL9" s="3898"/>
      <c r="BM9" s="3898"/>
      <c r="BN9" s="3898"/>
      <c r="BO9" s="3898"/>
      <c r="BP9" s="3898"/>
      <c r="BQ9" s="3898"/>
      <c r="BR9" s="3898"/>
      <c r="BS9" s="3898"/>
      <c r="BT9" s="3898"/>
      <c r="BU9" s="3898"/>
      <c r="BV9" s="3898"/>
      <c r="BW9" s="3898"/>
      <c r="BX9" s="3898"/>
      <c r="BY9" s="3898"/>
      <c r="BZ9" s="3898"/>
      <c r="CA9" s="3898"/>
      <c r="CB9" s="3898"/>
      <c r="CC9" s="3898"/>
      <c r="CD9" s="3898"/>
      <c r="CE9" s="3898"/>
      <c r="CF9" s="3898"/>
      <c r="CG9" s="3898"/>
      <c r="CH9" s="3898"/>
      <c r="CI9" s="3898"/>
      <c r="CJ9" s="3898"/>
      <c r="CK9" s="3898"/>
      <c r="CL9" s="3898"/>
      <c r="CM9" s="3898"/>
      <c r="CN9" s="3898"/>
      <c r="CO9" s="3898"/>
      <c r="CP9" s="3898"/>
      <c r="CQ9" s="3898"/>
      <c r="CR9" s="3898"/>
      <c r="CS9" s="3898"/>
      <c r="CT9" s="3898"/>
      <c r="CU9" s="3898"/>
      <c r="CV9" s="3898"/>
      <c r="CW9" s="3898"/>
      <c r="CX9" s="3898"/>
      <c r="CY9" s="3898"/>
      <c r="CZ9" s="3898"/>
      <c r="DA9" s="3898"/>
      <c r="DB9" s="3898"/>
      <c r="DC9" s="3898"/>
      <c r="DD9" s="3898"/>
      <c r="DE9" s="3898"/>
      <c r="DF9" s="3898"/>
      <c r="DG9" s="3898"/>
      <c r="DH9" s="3898"/>
      <c r="DI9" s="3898"/>
      <c r="DJ9" s="3898"/>
      <c r="DK9" s="3898"/>
      <c r="DL9" s="3898"/>
      <c r="DM9" s="3898"/>
      <c r="DN9" s="3898"/>
      <c r="DO9" s="3898"/>
      <c r="DP9" s="3898"/>
      <c r="DQ9" s="3898"/>
      <c r="DR9" s="3898"/>
      <c r="DS9" s="3898"/>
      <c r="DT9" s="3898"/>
      <c r="DU9" s="3898"/>
      <c r="DV9" s="3898"/>
      <c r="DW9" s="3898"/>
      <c r="DX9" s="3898"/>
      <c r="DY9" s="3898"/>
      <c r="DZ9" s="3898"/>
      <c r="EA9" s="3898"/>
      <c r="EB9" s="3898"/>
      <c r="EC9" s="3898"/>
      <c r="ED9" s="3898"/>
      <c r="EE9" s="3898"/>
      <c r="EF9" s="3898"/>
      <c r="EG9" s="3898"/>
      <c r="EH9" s="3898"/>
      <c r="EI9" s="3898"/>
      <c r="EJ9" s="3898"/>
      <c r="EK9" s="3898"/>
      <c r="EL9" s="3898"/>
      <c r="EM9" s="3898"/>
      <c r="EN9" s="3898"/>
      <c r="EO9" s="3898"/>
      <c r="EP9" s="3898"/>
      <c r="EQ9" s="3898"/>
      <c r="ER9" s="3898"/>
      <c r="ES9" s="3898"/>
      <c r="ET9" s="3898"/>
      <c r="EU9" s="3898"/>
      <c r="EV9" s="3898"/>
      <c r="EW9" s="3898"/>
      <c r="EX9" s="3898"/>
      <c r="EY9" s="3898"/>
      <c r="EZ9" s="3898"/>
      <c r="FA9" s="3898"/>
      <c r="FB9" s="3898"/>
      <c r="FC9" s="3898"/>
      <c r="FD9" s="3898"/>
      <c r="FE9" s="3898"/>
      <c r="FF9" s="3898"/>
      <c r="FG9" s="3898"/>
      <c r="FH9" s="3898"/>
      <c r="FI9" s="3898"/>
      <c r="FJ9" s="3898"/>
      <c r="FK9" s="3898"/>
      <c r="FL9" s="3898"/>
      <c r="FM9" s="3898"/>
      <c r="FN9" s="3898"/>
      <c r="FO9" s="3898"/>
      <c r="FP9" s="3898"/>
      <c r="FQ9" s="3898"/>
      <c r="FR9" s="3898"/>
      <c r="FS9" s="3898"/>
      <c r="FT9" s="3898"/>
      <c r="FU9" s="3898"/>
      <c r="FV9" s="3898"/>
      <c r="FW9" s="3898"/>
      <c r="FX9" s="3898"/>
      <c r="FY9" s="3898"/>
      <c r="FZ9" s="3898"/>
      <c r="GA9" s="3898"/>
      <c r="GB9" s="3898"/>
      <c r="GC9" s="3898"/>
      <c r="GD9" s="3898"/>
      <c r="GE9" s="3898"/>
      <c r="GF9" s="3898"/>
      <c r="GG9" s="3898"/>
      <c r="GH9" s="3898"/>
      <c r="GI9" s="3898"/>
      <c r="GJ9" s="3898"/>
      <c r="GK9" s="3898"/>
      <c r="GL9" s="3898"/>
      <c r="GM9" s="3898"/>
      <c r="GN9" s="3898"/>
      <c r="GO9" s="3898"/>
      <c r="GP9" s="3898"/>
      <c r="GQ9" s="3898"/>
      <c r="GR9" s="3898"/>
      <c r="GS9" s="3898"/>
      <c r="GT9" s="3898"/>
      <c r="GU9" s="3898"/>
      <c r="GV9" s="3898"/>
      <c r="GW9" s="3898"/>
      <c r="GX9" s="3898"/>
      <c r="GY9" s="3898"/>
      <c r="GZ9" s="3898"/>
      <c r="HA9" s="3898"/>
      <c r="HB9" s="3898"/>
      <c r="HC9" s="3898"/>
      <c r="HD9" s="3898"/>
      <c r="HE9" s="3898"/>
      <c r="HF9" s="3898"/>
      <c r="HG9" s="3898"/>
      <c r="HH9" s="3898"/>
      <c r="HI9" s="3898"/>
      <c r="HJ9" s="3898"/>
      <c r="HK9" s="3898"/>
      <c r="HL9" s="3898"/>
      <c r="HM9" s="3898"/>
      <c r="HN9" s="3898"/>
      <c r="HO9" s="3898"/>
      <c r="HP9" s="3898"/>
      <c r="HQ9" s="3898"/>
      <c r="HR9" s="3898"/>
      <c r="HS9" s="3898"/>
      <c r="HT9" s="3898"/>
      <c r="HU9" s="3898"/>
      <c r="HV9" s="3898"/>
      <c r="HW9" s="3898"/>
      <c r="HX9" s="3898"/>
      <c r="HY9" s="3898"/>
      <c r="HZ9" s="3898" t="s">
        <v>1405</v>
      </c>
      <c r="IA9" s="1812" t="s">
        <v>2329</v>
      </c>
      <c r="IB9" s="1812" t="s">
        <v>2330</v>
      </c>
      <c r="IC9" s="1812" t="s">
        <v>2331</v>
      </c>
      <c r="ID9" s="1812" t="s">
        <v>2332</v>
      </c>
      <c r="IE9" s="3898" t="s">
        <v>2383</v>
      </c>
      <c r="IF9" s="3898" t="s">
        <v>2383</v>
      </c>
      <c r="IG9" s="3898" t="s">
        <v>2383</v>
      </c>
      <c r="IH9" s="3898" t="s">
        <v>2383</v>
      </c>
      <c r="II9" s="3898" t="s">
        <v>2383</v>
      </c>
      <c r="IJ9" s="3898" t="s">
        <v>3120</v>
      </c>
      <c r="IK9" s="3898" t="s">
        <v>3120</v>
      </c>
      <c r="IL9" s="3898" t="s">
        <v>3120</v>
      </c>
      <c r="IM9" s="3898" t="s">
        <v>3120</v>
      </c>
      <c r="IN9" s="3898" t="s">
        <v>3120</v>
      </c>
      <c r="IO9" s="1812" t="s">
        <v>539</v>
      </c>
      <c r="IP9" s="1812" t="s">
        <v>2329</v>
      </c>
      <c r="IQ9" s="1812" t="s">
        <v>2330</v>
      </c>
      <c r="IR9" s="1812" t="s">
        <v>2331</v>
      </c>
      <c r="IS9" s="1812" t="s">
        <v>2332</v>
      </c>
      <c r="IT9" s="1812" t="s">
        <v>539</v>
      </c>
      <c r="IU9" s="1812" t="s">
        <v>2329</v>
      </c>
      <c r="IV9" s="1812" t="s">
        <v>2330</v>
      </c>
      <c r="IW9" s="1812" t="s">
        <v>2331</v>
      </c>
      <c r="IX9" s="1812" t="s">
        <v>2332</v>
      </c>
      <c r="IY9" s="3898" t="s">
        <v>6590</v>
      </c>
      <c r="IZ9" s="3898" t="s">
        <v>6590</v>
      </c>
      <c r="JA9" s="3898" t="s">
        <v>6590</v>
      </c>
      <c r="JB9" s="3898" t="s">
        <v>6590</v>
      </c>
      <c r="JC9" s="3898" t="s">
        <v>6590</v>
      </c>
      <c r="JD9" s="3898" t="s">
        <v>6591</v>
      </c>
      <c r="JE9" s="3898" t="s">
        <v>6591</v>
      </c>
      <c r="JF9" s="3898" t="s">
        <v>6591</v>
      </c>
      <c r="JG9" s="3898" t="s">
        <v>6591</v>
      </c>
      <c r="JH9" s="3898" t="s">
        <v>6591</v>
      </c>
      <c r="JI9" s="3898" t="s">
        <v>6593</v>
      </c>
      <c r="JJ9" s="3898" t="s">
        <v>6593</v>
      </c>
      <c r="JK9" s="3898" t="s">
        <v>6593</v>
      </c>
      <c r="JL9" s="3898" t="s">
        <v>6593</v>
      </c>
      <c r="JM9" s="3898" t="s">
        <v>6593</v>
      </c>
      <c r="JN9" s="3898" t="s">
        <v>6594</v>
      </c>
      <c r="JO9" s="3898" t="s">
        <v>6594</v>
      </c>
      <c r="JP9" s="3898" t="s">
        <v>6594</v>
      </c>
      <c r="JQ9" s="3898" t="s">
        <v>6594</v>
      </c>
      <c r="JR9" s="3898" t="s">
        <v>6594</v>
      </c>
      <c r="JS9" s="3898" t="s">
        <v>6595</v>
      </c>
      <c r="JT9" s="3898" t="s">
        <v>6595</v>
      </c>
      <c r="JU9" s="3898" t="s">
        <v>6595</v>
      </c>
      <c r="JV9" s="3898" t="s">
        <v>6595</v>
      </c>
      <c r="JW9" s="3898" t="s">
        <v>6595</v>
      </c>
      <c r="JX9" s="3898" t="s">
        <v>6810</v>
      </c>
      <c r="JY9" s="3898" t="s">
        <v>6810</v>
      </c>
      <c r="JZ9" s="3898" t="s">
        <v>6810</v>
      </c>
      <c r="KA9" s="3898" t="s">
        <v>6810</v>
      </c>
      <c r="KB9" s="3898" t="s">
        <v>6810</v>
      </c>
      <c r="KC9" s="3898" t="s">
        <v>6827</v>
      </c>
      <c r="KD9" s="3898" t="s">
        <v>6827</v>
      </c>
      <c r="KE9" s="3898" t="s">
        <v>6827</v>
      </c>
      <c r="KF9" s="3898" t="s">
        <v>6827</v>
      </c>
      <c r="KG9" s="3898" t="s">
        <v>6827</v>
      </c>
      <c r="KH9" s="3898" t="s">
        <v>6828</v>
      </c>
      <c r="KI9" s="3898" t="s">
        <v>6828</v>
      </c>
      <c r="KJ9" s="3898" t="s">
        <v>6828</v>
      </c>
      <c r="KK9" s="3898" t="s">
        <v>6828</v>
      </c>
      <c r="KL9" s="3898" t="s">
        <v>6828</v>
      </c>
      <c r="KM9" s="3898" t="s">
        <v>6597</v>
      </c>
      <c r="KN9" s="3898" t="s">
        <v>6597</v>
      </c>
      <c r="KO9" s="3898" t="s">
        <v>6597</v>
      </c>
      <c r="KP9" s="3898" t="s">
        <v>6597</v>
      </c>
      <c r="KQ9" s="3898" t="s">
        <v>6597</v>
      </c>
      <c r="KR9" s="3898" t="s">
        <v>6811</v>
      </c>
      <c r="KS9" s="3898" t="s">
        <v>6811</v>
      </c>
      <c r="KT9" s="3898" t="s">
        <v>6811</v>
      </c>
      <c r="KU9" s="3898" t="s">
        <v>6811</v>
      </c>
      <c r="KV9" s="3898" t="s">
        <v>6811</v>
      </c>
      <c r="KW9" s="3898" t="s">
        <v>6829</v>
      </c>
      <c r="KX9" s="3898" t="s">
        <v>6829</v>
      </c>
      <c r="KY9" s="3898" t="s">
        <v>6829</v>
      </c>
      <c r="KZ9" s="3898" t="s">
        <v>6829</v>
      </c>
      <c r="LA9" s="3898" t="s">
        <v>6829</v>
      </c>
      <c r="LB9" s="3898" t="s">
        <v>6830</v>
      </c>
      <c r="LC9" s="3898" t="s">
        <v>6830</v>
      </c>
      <c r="LD9" s="3898" t="s">
        <v>6830</v>
      </c>
      <c r="LE9" s="3898" t="s">
        <v>6830</v>
      </c>
      <c r="LF9" s="3898" t="s">
        <v>6830</v>
      </c>
      <c r="LG9" s="3898"/>
      <c r="LH9" s="3898"/>
      <c r="LI9" s="3898"/>
      <c r="LJ9" s="3898"/>
      <c r="LK9" s="3898"/>
      <c r="LL9" s="3898"/>
      <c r="LM9" s="3898"/>
      <c r="LN9" s="3898"/>
      <c r="LO9" s="3898"/>
      <c r="LP9" s="3898"/>
      <c r="LQ9" s="3898"/>
      <c r="LR9" s="3898"/>
      <c r="LS9" s="3898"/>
      <c r="LT9" s="3898"/>
      <c r="LU9" s="3898"/>
      <c r="LV9" s="3898"/>
      <c r="LW9" s="3898"/>
      <c r="LX9" s="3898"/>
      <c r="LY9" s="3898"/>
      <c r="LZ9" s="3898"/>
      <c r="MA9" s="3898"/>
      <c r="MB9" s="3898"/>
      <c r="MC9" s="3898"/>
      <c r="MD9" s="3898"/>
      <c r="ME9" s="3898"/>
      <c r="MF9" s="3898"/>
      <c r="MG9" s="3898"/>
      <c r="MH9" s="3898"/>
      <c r="MI9" s="3898"/>
      <c r="MJ9" s="3898"/>
      <c r="MK9" s="3915"/>
      <c r="ML9" s="3915"/>
      <c r="MM9" s="3915"/>
      <c r="MN9" s="3915"/>
      <c r="MO9" s="3915"/>
      <c r="MP9" s="3898"/>
      <c r="MQ9" s="3898"/>
      <c r="MR9" s="3898"/>
      <c r="MS9" s="3898"/>
      <c r="MT9" s="389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6"/>
      <c r="B10" s="1345" t="s">
        <v>4126</v>
      </c>
      <c r="C10" s="1401" t="s">
        <v>163</v>
      </c>
      <c r="D10" s="1401" t="s">
        <v>165</v>
      </c>
      <c r="E10" s="1401" t="s">
        <v>1418</v>
      </c>
      <c r="F10" s="1401" t="s">
        <v>1231</v>
      </c>
      <c r="G10" s="3922"/>
      <c r="H10" s="1401" t="s">
        <v>6307</v>
      </c>
      <c r="I10" s="3922"/>
      <c r="J10" s="3918"/>
      <c r="K10" s="431" t="s">
        <v>338</v>
      </c>
      <c r="L10" s="1401" t="s">
        <v>1469</v>
      </c>
      <c r="M10" s="1401" t="s">
        <v>513</v>
      </c>
      <c r="N10" s="1401" t="s">
        <v>1417</v>
      </c>
      <c r="O10" s="1401" t="s">
        <v>6826</v>
      </c>
      <c r="P10" s="3920"/>
      <c r="Q10" s="3901"/>
      <c r="R10" s="1401" t="s">
        <v>1419</v>
      </c>
      <c r="S10" s="1401" t="s">
        <v>2546</v>
      </c>
      <c r="T10" s="31" t="s">
        <v>1760</v>
      </c>
      <c r="W10" s="31"/>
      <c r="X10" s="3898"/>
      <c r="Y10" s="3898"/>
      <c r="Z10" s="3898"/>
      <c r="AA10" s="3898"/>
      <c r="AB10" s="3898"/>
      <c r="AC10" s="3898"/>
      <c r="AD10" s="3898"/>
      <c r="AE10" s="3898"/>
      <c r="AF10" s="3898"/>
      <c r="AG10" s="3898"/>
      <c r="AH10" s="3898"/>
      <c r="AI10" s="3898"/>
      <c r="AJ10" s="3898"/>
      <c r="AK10" s="3898"/>
      <c r="AL10" s="3898"/>
      <c r="AM10" s="3898"/>
      <c r="AN10" s="3898"/>
      <c r="AO10" s="3898"/>
      <c r="AP10" s="3898"/>
      <c r="AQ10" s="3898"/>
      <c r="AR10" s="3898"/>
      <c r="AS10" s="3898"/>
      <c r="AT10" s="3898"/>
      <c r="AU10" s="3898"/>
      <c r="AV10" s="3898"/>
      <c r="AW10" s="3898"/>
      <c r="AX10" s="3898"/>
      <c r="AY10" s="3898"/>
      <c r="AZ10" s="3898"/>
      <c r="BA10" s="3898"/>
      <c r="BB10" s="3898"/>
      <c r="BC10" s="3898"/>
      <c r="BD10" s="3898"/>
      <c r="BE10" s="3898"/>
      <c r="BF10" s="3898"/>
      <c r="BG10" s="3898"/>
      <c r="BH10" s="3898"/>
      <c r="BI10" s="3898"/>
      <c r="BJ10" s="3898"/>
      <c r="BK10" s="3898"/>
      <c r="BL10" s="3898"/>
      <c r="BM10" s="3898"/>
      <c r="BN10" s="3898"/>
      <c r="BO10" s="3898"/>
      <c r="BP10" s="3898"/>
      <c r="BQ10" s="3898"/>
      <c r="BR10" s="3898"/>
      <c r="BS10" s="3898"/>
      <c r="BT10" s="3898"/>
      <c r="BU10" s="3898"/>
      <c r="BV10" s="3898"/>
      <c r="BW10" s="3898"/>
      <c r="BX10" s="3898"/>
      <c r="BY10" s="3898"/>
      <c r="BZ10" s="3898"/>
      <c r="CA10" s="3898"/>
      <c r="CB10" s="3898"/>
      <c r="CC10" s="3898"/>
      <c r="CD10" s="3898"/>
      <c r="CE10" s="3898"/>
      <c r="CF10" s="3898"/>
      <c r="CG10" s="3898"/>
      <c r="CH10" s="3898"/>
      <c r="CI10" s="3898"/>
      <c r="CJ10" s="3898"/>
      <c r="CK10" s="3898"/>
      <c r="CL10" s="3898"/>
      <c r="CM10" s="3898"/>
      <c r="CN10" s="3898"/>
      <c r="CO10" s="3898"/>
      <c r="CP10" s="3898"/>
      <c r="CQ10" s="3898"/>
      <c r="CR10" s="3898"/>
      <c r="CS10" s="3898"/>
      <c r="CT10" s="3898"/>
      <c r="CU10" s="3898"/>
      <c r="CV10" s="3898"/>
      <c r="CW10" s="3898"/>
      <c r="CX10" s="3898"/>
      <c r="CY10" s="3898"/>
      <c r="CZ10" s="3898"/>
      <c r="DA10" s="3898"/>
      <c r="DB10" s="3898"/>
      <c r="DC10" s="3898"/>
      <c r="DD10" s="3898"/>
      <c r="DE10" s="3898"/>
      <c r="DF10" s="3898"/>
      <c r="DG10" s="3898"/>
      <c r="DH10" s="3898"/>
      <c r="DI10" s="3898"/>
      <c r="DJ10" s="3898"/>
      <c r="DK10" s="3898"/>
      <c r="DL10" s="3898"/>
      <c r="DM10" s="3898"/>
      <c r="DN10" s="3898"/>
      <c r="DO10" s="3898"/>
      <c r="DP10" s="3898"/>
      <c r="DQ10" s="3898"/>
      <c r="DR10" s="3898"/>
      <c r="DS10" s="3898"/>
      <c r="DT10" s="3898"/>
      <c r="DU10" s="3898"/>
      <c r="DV10" s="3898"/>
      <c r="DW10" s="3898"/>
      <c r="DX10" s="3898"/>
      <c r="DY10" s="3898"/>
      <c r="DZ10" s="3898"/>
      <c r="EA10" s="3898"/>
      <c r="EB10" s="3898"/>
      <c r="EC10" s="3898"/>
      <c r="ED10" s="3898"/>
      <c r="EE10" s="3898"/>
      <c r="EF10" s="3898"/>
      <c r="EG10" s="3898"/>
      <c r="EH10" s="3898"/>
      <c r="EI10" s="3898"/>
      <c r="EJ10" s="3898"/>
      <c r="EK10" s="3898"/>
      <c r="EL10" s="3898"/>
      <c r="EM10" s="3898"/>
      <c r="EN10" s="3898"/>
      <c r="EO10" s="3898"/>
      <c r="EP10" s="3898"/>
      <c r="EQ10" s="3898"/>
      <c r="ER10" s="3898"/>
      <c r="ES10" s="3898"/>
      <c r="ET10" s="3898"/>
      <c r="EU10" s="3898"/>
      <c r="EV10" s="3898"/>
      <c r="EW10" s="3898"/>
      <c r="EX10" s="3898"/>
      <c r="EY10" s="3898"/>
      <c r="EZ10" s="3898"/>
      <c r="FA10" s="3898"/>
      <c r="FB10" s="3898"/>
      <c r="FC10" s="3898"/>
      <c r="FD10" s="3898"/>
      <c r="FE10" s="3898"/>
      <c r="FF10" s="3898"/>
      <c r="FG10" s="3898"/>
      <c r="FH10" s="3898"/>
      <c r="FI10" s="3898"/>
      <c r="FJ10" s="3898"/>
      <c r="FK10" s="3898"/>
      <c r="FL10" s="3898"/>
      <c r="FM10" s="3898"/>
      <c r="FN10" s="3898"/>
      <c r="FO10" s="3898"/>
      <c r="FP10" s="3898"/>
      <c r="FQ10" s="3898"/>
      <c r="FR10" s="3898"/>
      <c r="FS10" s="3898"/>
      <c r="FT10" s="3898"/>
      <c r="FU10" s="3898"/>
      <c r="FV10" s="3898"/>
      <c r="FW10" s="3898"/>
      <c r="FX10" s="3898"/>
      <c r="FY10" s="3898"/>
      <c r="FZ10" s="3898"/>
      <c r="GA10" s="3898"/>
      <c r="GB10" s="3898"/>
      <c r="GC10" s="3898"/>
      <c r="GD10" s="3898"/>
      <c r="GE10" s="3898"/>
      <c r="GF10" s="3898"/>
      <c r="GG10" s="3898"/>
      <c r="GH10" s="3898"/>
      <c r="GI10" s="3898"/>
      <c r="GJ10" s="3898"/>
      <c r="GK10" s="3898"/>
      <c r="GL10" s="3898"/>
      <c r="GM10" s="3898"/>
      <c r="GN10" s="3898"/>
      <c r="GO10" s="3898"/>
      <c r="GP10" s="3898"/>
      <c r="GQ10" s="3898"/>
      <c r="GR10" s="3898"/>
      <c r="GS10" s="3898"/>
      <c r="GT10" s="3898"/>
      <c r="GU10" s="3898"/>
      <c r="GV10" s="3898"/>
      <c r="GW10" s="3898"/>
      <c r="GX10" s="3898"/>
      <c r="GY10" s="3898"/>
      <c r="GZ10" s="3898"/>
      <c r="HA10" s="3898"/>
      <c r="HB10" s="3898"/>
      <c r="HC10" s="3898"/>
      <c r="HD10" s="3898"/>
      <c r="HE10" s="3898"/>
      <c r="HF10" s="3898"/>
      <c r="HG10" s="3898"/>
      <c r="HH10" s="3898"/>
      <c r="HI10" s="3898"/>
      <c r="HJ10" s="3898"/>
      <c r="HK10" s="3898"/>
      <c r="HL10" s="3898"/>
      <c r="HM10" s="3898"/>
      <c r="HN10" s="3898"/>
      <c r="HO10" s="3898"/>
      <c r="HP10" s="3898"/>
      <c r="HQ10" s="3898"/>
      <c r="HR10" s="3898"/>
      <c r="HS10" s="3898"/>
      <c r="HT10" s="3898"/>
      <c r="HU10" s="3898"/>
      <c r="HV10" s="3898"/>
      <c r="HW10" s="3898"/>
      <c r="HX10" s="3898"/>
      <c r="HY10" s="3898"/>
      <c r="HZ10" s="3898"/>
      <c r="IA10" s="1812" t="s">
        <v>2382</v>
      </c>
      <c r="IB10" s="1812" t="s">
        <v>2382</v>
      </c>
      <c r="IC10" s="1812" t="s">
        <v>2382</v>
      </c>
      <c r="ID10" s="1812" t="s">
        <v>2382</v>
      </c>
      <c r="IE10" s="3898"/>
      <c r="IF10" s="3898"/>
      <c r="IG10" s="3898"/>
      <c r="IH10" s="3898"/>
      <c r="II10" s="3898"/>
      <c r="IJ10" s="3898"/>
      <c r="IK10" s="3898"/>
      <c r="IL10" s="3898"/>
      <c r="IM10" s="3898"/>
      <c r="IN10" s="3898"/>
      <c r="IO10" s="1812" t="s">
        <v>2384</v>
      </c>
      <c r="IP10" s="1812" t="s">
        <v>2384</v>
      </c>
      <c r="IQ10" s="1812" t="s">
        <v>2384</v>
      </c>
      <c r="IR10" s="1812" t="s">
        <v>2384</v>
      </c>
      <c r="IS10" s="1812" t="s">
        <v>2384</v>
      </c>
      <c r="IT10" s="1812" t="s">
        <v>3121</v>
      </c>
      <c r="IU10" s="1812" t="s">
        <v>3121</v>
      </c>
      <c r="IV10" s="1812" t="s">
        <v>3121</v>
      </c>
      <c r="IW10" s="1812" t="s">
        <v>3121</v>
      </c>
      <c r="IX10" s="1812" t="s">
        <v>3121</v>
      </c>
      <c r="IY10" s="3898"/>
      <c r="IZ10" s="3898"/>
      <c r="JA10" s="3898"/>
      <c r="JB10" s="3898"/>
      <c r="JC10" s="3898"/>
      <c r="JD10" s="3898"/>
      <c r="JE10" s="3898"/>
      <c r="JF10" s="3898"/>
      <c r="JG10" s="3898"/>
      <c r="JH10" s="3898"/>
      <c r="JI10" s="3898"/>
      <c r="JJ10" s="3898"/>
      <c r="JK10" s="3898"/>
      <c r="JL10" s="3898"/>
      <c r="JM10" s="3898"/>
      <c r="JN10" s="3898"/>
      <c r="JO10" s="3898"/>
      <c r="JP10" s="3898"/>
      <c r="JQ10" s="3898"/>
      <c r="JR10" s="3898"/>
      <c r="JS10" s="3898"/>
      <c r="JT10" s="3898"/>
      <c r="JU10" s="3898"/>
      <c r="JV10" s="3898"/>
      <c r="JW10" s="3898"/>
      <c r="JX10" s="3898"/>
      <c r="JY10" s="3898"/>
      <c r="JZ10" s="3898"/>
      <c r="KA10" s="3898"/>
      <c r="KB10" s="3898"/>
      <c r="KC10" s="3898"/>
      <c r="KD10" s="3898"/>
      <c r="KE10" s="3898"/>
      <c r="KF10" s="3898"/>
      <c r="KG10" s="3898"/>
      <c r="KH10" s="3898"/>
      <c r="KI10" s="3898"/>
      <c r="KJ10" s="3898"/>
      <c r="KK10" s="3898"/>
      <c r="KL10" s="3898"/>
      <c r="KM10" s="3898"/>
      <c r="KN10" s="3898"/>
      <c r="KO10" s="3898"/>
      <c r="KP10" s="3898"/>
      <c r="KQ10" s="3898"/>
      <c r="KR10" s="3898"/>
      <c r="KS10" s="3898"/>
      <c r="KT10" s="3898"/>
      <c r="KU10" s="3898"/>
      <c r="KV10" s="3898"/>
      <c r="KW10" s="3898"/>
      <c r="KX10" s="3898"/>
      <c r="KY10" s="3898"/>
      <c r="KZ10" s="3898"/>
      <c r="LA10" s="3898"/>
      <c r="LB10" s="3898"/>
      <c r="LC10" s="3898"/>
      <c r="LD10" s="3898"/>
      <c r="LE10" s="3898"/>
      <c r="LF10" s="3898"/>
      <c r="LG10" s="3898"/>
      <c r="LH10" s="3898"/>
      <c r="LI10" s="3898"/>
      <c r="LJ10" s="3898"/>
      <c r="LK10" s="3898"/>
      <c r="LL10" s="3898"/>
      <c r="LM10" s="3898"/>
      <c r="LN10" s="3898"/>
      <c r="LO10" s="3898"/>
      <c r="LP10" s="3898"/>
      <c r="LQ10" s="3898"/>
      <c r="LR10" s="3898"/>
      <c r="LS10" s="3898"/>
      <c r="LT10" s="3898"/>
      <c r="LU10" s="3898"/>
      <c r="LV10" s="3898"/>
      <c r="LW10" s="3898"/>
      <c r="LX10" s="3898"/>
      <c r="LY10" s="3898"/>
      <c r="LZ10" s="3898"/>
      <c r="MA10" s="3898"/>
      <c r="MB10" s="3898"/>
      <c r="MC10" s="3898"/>
      <c r="MD10" s="3898"/>
      <c r="ME10" s="3898"/>
      <c r="MF10" s="3898"/>
      <c r="MG10" s="3898"/>
      <c r="MH10" s="3898"/>
      <c r="MI10" s="3898"/>
      <c r="MJ10" s="3898"/>
      <c r="MK10" s="3915"/>
      <c r="ML10" s="3915"/>
      <c r="MM10" s="3915"/>
      <c r="MN10" s="3915"/>
      <c r="MO10" s="3915"/>
      <c r="MP10" s="3898"/>
      <c r="MQ10" s="3898"/>
      <c r="MR10" s="3898"/>
      <c r="MS10" s="3898"/>
      <c r="MT10" s="389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3829</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46"/>
      <c r="U11" s="3847"/>
      <c r="V11" s="3847"/>
      <c r="W11" s="3848"/>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3.9" customHeight="1">
      <c r="A12" s="108" t="str">
        <f t="shared" ref="A12:A48" si="327">IF(AND(E12&gt;0,OR(B12="",C12="",D12="",F12="",G12="", H12="",I12="",N12="",O12="",P12="",Q12="")),1,"")</f>
        <v/>
      </c>
      <c r="B12" s="2868" t="s">
        <v>3829</v>
      </c>
      <c r="C12" s="2869"/>
      <c r="D12" s="2870"/>
      <c r="E12" s="2871"/>
      <c r="F12" s="2871"/>
      <c r="G12" s="2871"/>
      <c r="H12" s="2871"/>
      <c r="I12" s="2871"/>
      <c r="J12" s="2872"/>
      <c r="K12" s="2873"/>
      <c r="L12" s="537">
        <f t="shared" si="0"/>
        <v>0</v>
      </c>
      <c r="M12" s="537">
        <f t="shared" si="1"/>
        <v>0</v>
      </c>
      <c r="N12" s="2712"/>
      <c r="O12" s="2874"/>
      <c r="P12" s="2712"/>
      <c r="Q12" s="2875"/>
      <c r="R12" s="2876"/>
      <c r="S12" s="2877"/>
      <c r="T12" s="3832"/>
      <c r="U12" s="3833"/>
      <c r="V12" s="3833"/>
      <c r="W12" s="383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2"/>
      <c r="U13" s="3833"/>
      <c r="V13" s="3833"/>
      <c r="W13" s="383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2"/>
      <c r="U14" s="3833"/>
      <c r="V14" s="3833"/>
      <c r="W14" s="383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2"/>
      <c r="U15" s="3833"/>
      <c r="V15" s="3833"/>
      <c r="W15" s="383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6721</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2"/>
      <c r="U16" s="3833"/>
      <c r="V16" s="3833"/>
      <c r="W16" s="383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2"/>
      <c r="U17" s="3833"/>
      <c r="V17" s="3833"/>
      <c r="W17" s="383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3.9" customHeight="1">
      <c r="A18" s="108" t="str">
        <f t="shared" si="327"/>
        <v/>
      </c>
      <c r="B18" s="2887">
        <v>50</v>
      </c>
      <c r="C18" s="2888">
        <v>1</v>
      </c>
      <c r="D18" s="2889">
        <v>1</v>
      </c>
      <c r="E18" s="2890">
        <v>3</v>
      </c>
      <c r="F18" s="2890">
        <v>811</v>
      </c>
      <c r="G18" s="2890">
        <v>583</v>
      </c>
      <c r="H18" s="2890">
        <v>570</v>
      </c>
      <c r="I18" s="2890">
        <v>0</v>
      </c>
      <c r="J18" s="2891">
        <f>IF(C18="",0,HLOOKUP(C18,'Part V-Utility Allowances'!$I$11:$M$22,12))</f>
        <v>105</v>
      </c>
      <c r="K18" s="2892"/>
      <c r="L18" s="1188">
        <f t="shared" si="0"/>
        <v>465</v>
      </c>
      <c r="M18" s="1188">
        <f t="shared" si="1"/>
        <v>1395</v>
      </c>
      <c r="N18" s="2893" t="s">
        <v>2772</v>
      </c>
      <c r="O18" s="2894" t="s">
        <v>6596</v>
      </c>
      <c r="P18" s="2893" t="s">
        <v>2192</v>
      </c>
      <c r="Q18" s="2895" t="s">
        <v>2772</v>
      </c>
      <c r="R18" s="2876"/>
      <c r="S18" s="2877"/>
      <c r="T18" s="3832"/>
      <c r="U18" s="3833"/>
      <c r="V18" s="3833"/>
      <c r="W18" s="383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2433</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3</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3.9" customHeight="1">
      <c r="A19" s="108" t="str">
        <f t="shared" si="327"/>
        <v/>
      </c>
      <c r="B19" s="2896">
        <v>60</v>
      </c>
      <c r="C19" s="2869">
        <v>1</v>
      </c>
      <c r="D19" s="2870">
        <v>1</v>
      </c>
      <c r="E19" s="2871">
        <v>4</v>
      </c>
      <c r="F19" s="2871">
        <v>811</v>
      </c>
      <c r="G19" s="2871">
        <v>700</v>
      </c>
      <c r="H19" s="2871">
        <v>620</v>
      </c>
      <c r="I19" s="2871">
        <v>0</v>
      </c>
      <c r="J19" s="2897">
        <f>IF(C19="",0,HLOOKUP(C19,'Part V-Utility Allowances'!$I$11:$M$22,12))</f>
        <v>105</v>
      </c>
      <c r="K19" s="2873"/>
      <c r="L19" s="537">
        <f t="shared" si="0"/>
        <v>515</v>
      </c>
      <c r="M19" s="537">
        <f t="shared" si="1"/>
        <v>2060</v>
      </c>
      <c r="N19" s="2712" t="s">
        <v>2772</v>
      </c>
      <c r="O19" s="2874" t="s">
        <v>6596</v>
      </c>
      <c r="P19" s="2712" t="s">
        <v>2192</v>
      </c>
      <c r="Q19" s="2875" t="s">
        <v>2772</v>
      </c>
      <c r="R19" s="2876"/>
      <c r="S19" s="2877"/>
      <c r="T19" s="3832"/>
      <c r="U19" s="3833"/>
      <c r="V19" s="3833"/>
      <c r="W19" s="383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4</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3244</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4</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4</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4</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4</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3.9" customHeight="1">
      <c r="A20" s="108" t="str">
        <f t="shared" si="327"/>
        <v/>
      </c>
      <c r="B20" s="2896">
        <v>70</v>
      </c>
      <c r="C20" s="2869">
        <v>1</v>
      </c>
      <c r="D20" s="2870">
        <v>1</v>
      </c>
      <c r="E20" s="2871">
        <v>1</v>
      </c>
      <c r="F20" s="2871">
        <v>811</v>
      </c>
      <c r="G20" s="2871">
        <v>817</v>
      </c>
      <c r="H20" s="2871">
        <v>655</v>
      </c>
      <c r="I20" s="2871">
        <v>0</v>
      </c>
      <c r="J20" s="2897">
        <f>IF(C20="",0,HLOOKUP(C20,'Part V-Utility Allowances'!$I$11:$M$22,12))</f>
        <v>105</v>
      </c>
      <c r="K20" s="2873"/>
      <c r="L20" s="537">
        <f t="shared" si="0"/>
        <v>550</v>
      </c>
      <c r="M20" s="537">
        <f t="shared" si="1"/>
        <v>550</v>
      </c>
      <c r="N20" s="2712" t="s">
        <v>2772</v>
      </c>
      <c r="O20" s="2874" t="s">
        <v>6596</v>
      </c>
      <c r="P20" s="2712" t="s">
        <v>2192</v>
      </c>
      <c r="Q20" s="2875" t="s">
        <v>2772</v>
      </c>
      <c r="R20" s="2876"/>
      <c r="S20" s="2877"/>
      <c r="T20" s="3832"/>
      <c r="U20" s="3833"/>
      <c r="V20" s="3833"/>
      <c r="W20" s="3834"/>
      <c r="X20" s="430" t="str">
        <f t="shared" si="2"/>
        <v/>
      </c>
      <c r="Y20" s="430" t="str">
        <f t="shared" si="3"/>
        <v/>
      </c>
      <c r="Z20" s="430" t="str">
        <f t="shared" si="4"/>
        <v/>
      </c>
      <c r="AA20" s="430" t="str">
        <f t="shared" si="5"/>
        <v/>
      </c>
      <c r="AB20" s="430" t="str">
        <f t="shared" si="6"/>
        <v/>
      </c>
      <c r="AC20" s="430" t="str">
        <f t="shared" si="7"/>
        <v/>
      </c>
      <c r="AD20" s="430">
        <f t="shared" si="8"/>
        <v>1</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811</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1</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1</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6726</v>
      </c>
    </row>
    <row r="21" spans="1:380" ht="13.9" customHeight="1">
      <c r="A21" s="108" t="str">
        <f t="shared" si="327"/>
        <v/>
      </c>
      <c r="B21" s="2896">
        <v>50</v>
      </c>
      <c r="C21" s="2869">
        <v>2</v>
      </c>
      <c r="D21" s="2870">
        <v>2</v>
      </c>
      <c r="E21" s="2871">
        <v>8</v>
      </c>
      <c r="F21" s="2871">
        <v>1051</v>
      </c>
      <c r="G21" s="2871">
        <v>701</v>
      </c>
      <c r="H21" s="2871">
        <v>674</v>
      </c>
      <c r="I21" s="2871">
        <v>0</v>
      </c>
      <c r="J21" s="2897">
        <f>IF(C21="",0,HLOOKUP(C21,'Part V-Utility Allowances'!$I$11:$M$22,12))</f>
        <v>129</v>
      </c>
      <c r="K21" s="2873"/>
      <c r="L21" s="537">
        <f t="shared" si="0"/>
        <v>545</v>
      </c>
      <c r="M21" s="537">
        <f t="shared" si="1"/>
        <v>4360</v>
      </c>
      <c r="N21" s="2712" t="s">
        <v>2772</v>
      </c>
      <c r="O21" s="2874" t="s">
        <v>6596</v>
      </c>
      <c r="P21" s="2712" t="s">
        <v>2192</v>
      </c>
      <c r="Q21" s="2875" t="s">
        <v>2772</v>
      </c>
      <c r="R21" s="2876"/>
      <c r="S21" s="2877"/>
      <c r="T21" s="3832"/>
      <c r="U21" s="3833"/>
      <c r="V21" s="3833"/>
      <c r="W21" s="383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8</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8408</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8</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8</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8</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8</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3.9" customHeight="1">
      <c r="A22" s="108" t="str">
        <f t="shared" si="327"/>
        <v/>
      </c>
      <c r="B22" s="2896">
        <v>60</v>
      </c>
      <c r="C22" s="2869">
        <v>2</v>
      </c>
      <c r="D22" s="2870">
        <v>2</v>
      </c>
      <c r="E22" s="2871">
        <v>13</v>
      </c>
      <c r="F22" s="2871">
        <v>1051</v>
      </c>
      <c r="G22" s="2871">
        <v>841</v>
      </c>
      <c r="H22" s="2871">
        <v>724</v>
      </c>
      <c r="I22" s="2871">
        <v>0</v>
      </c>
      <c r="J22" s="2897">
        <f>IF(C22="",0,HLOOKUP(C22,'Part V-Utility Allowances'!$I$11:$M$22,12))</f>
        <v>129</v>
      </c>
      <c r="K22" s="2873"/>
      <c r="L22" s="537">
        <f t="shared" si="0"/>
        <v>595</v>
      </c>
      <c r="M22" s="537">
        <f t="shared" si="1"/>
        <v>7735</v>
      </c>
      <c r="N22" s="2712" t="s">
        <v>2772</v>
      </c>
      <c r="O22" s="2874" t="s">
        <v>6596</v>
      </c>
      <c r="P22" s="2712" t="s">
        <v>2192</v>
      </c>
      <c r="Q22" s="2875" t="s">
        <v>2772</v>
      </c>
      <c r="R22" s="2876"/>
      <c r="S22" s="2877"/>
      <c r="T22" s="3832"/>
      <c r="U22" s="3833"/>
      <c r="V22" s="3833"/>
      <c r="W22" s="383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13</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13663</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13</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13</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13</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3.9" customHeight="1">
      <c r="A23" s="108" t="str">
        <f t="shared" si="327"/>
        <v/>
      </c>
      <c r="B23" s="2896">
        <v>70</v>
      </c>
      <c r="C23" s="2869">
        <v>2</v>
      </c>
      <c r="D23" s="2870">
        <v>2</v>
      </c>
      <c r="E23" s="2871">
        <v>3</v>
      </c>
      <c r="F23" s="2871">
        <v>1051</v>
      </c>
      <c r="G23" s="2871">
        <v>981</v>
      </c>
      <c r="H23" s="2871">
        <v>754</v>
      </c>
      <c r="I23" s="2871">
        <v>0</v>
      </c>
      <c r="J23" s="2897">
        <f>IF(C23="",0,HLOOKUP(C23,'Part V-Utility Allowances'!$I$11:$M$22,12))</f>
        <v>129</v>
      </c>
      <c r="K23" s="2873"/>
      <c r="L23" s="537">
        <f t="shared" si="0"/>
        <v>625</v>
      </c>
      <c r="M23" s="537">
        <f t="shared" si="1"/>
        <v>1875</v>
      </c>
      <c r="N23" s="2712" t="s">
        <v>2772</v>
      </c>
      <c r="O23" s="2874" t="s">
        <v>6596</v>
      </c>
      <c r="P23" s="2712" t="s">
        <v>2192</v>
      </c>
      <c r="Q23" s="2875" t="s">
        <v>2772</v>
      </c>
      <c r="R23" s="2876"/>
      <c r="S23" s="2877"/>
      <c r="T23" s="3832"/>
      <c r="U23" s="3833"/>
      <c r="V23" s="3833"/>
      <c r="W23" s="3834"/>
      <c r="X23" s="430" t="str">
        <f t="shared" si="2"/>
        <v/>
      </c>
      <c r="Y23" s="430" t="str">
        <f t="shared" si="3"/>
        <v/>
      </c>
      <c r="Z23" s="430" t="str">
        <f t="shared" si="4"/>
        <v/>
      </c>
      <c r="AA23" s="430" t="str">
        <f t="shared" si="5"/>
        <v/>
      </c>
      <c r="AB23" s="430" t="str">
        <f t="shared" si="6"/>
        <v/>
      </c>
      <c r="AC23" s="430" t="str">
        <f t="shared" si="7"/>
        <v/>
      </c>
      <c r="AD23" s="430" t="str">
        <f t="shared" si="8"/>
        <v/>
      </c>
      <c r="AE23" s="430">
        <f t="shared" si="9"/>
        <v>3</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3153</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3</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3</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3</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3</v>
      </c>
      <c r="MN23" s="1815">
        <f t="shared" si="336"/>
        <v>0</v>
      </c>
      <c r="MO23" s="1815">
        <f t="shared" si="337"/>
        <v>0</v>
      </c>
      <c r="MP23" s="1815">
        <f t="shared" si="322"/>
        <v>0</v>
      </c>
      <c r="MQ23" s="1815">
        <f t="shared" si="323"/>
        <v>0</v>
      </c>
      <c r="MR23" s="1815">
        <f t="shared" si="324"/>
        <v>0</v>
      </c>
      <c r="MS23" s="1815">
        <f t="shared" si="325"/>
        <v>0</v>
      </c>
      <c r="MT23" s="1815">
        <f t="shared" si="326"/>
        <v>0</v>
      </c>
      <c r="NP23" s="2807" t="s">
        <v>6729</v>
      </c>
    </row>
    <row r="24" spans="1:380" ht="13.9" customHeight="1">
      <c r="A24" s="108" t="str">
        <f t="shared" si="327"/>
        <v/>
      </c>
      <c r="B24" s="2896">
        <v>50</v>
      </c>
      <c r="C24" s="2869">
        <v>3</v>
      </c>
      <c r="D24" s="2870">
        <v>2</v>
      </c>
      <c r="E24" s="2871">
        <v>5</v>
      </c>
      <c r="F24" s="2871">
        <v>1264</v>
      </c>
      <c r="G24" s="2871">
        <v>810</v>
      </c>
      <c r="H24" s="2871">
        <v>783</v>
      </c>
      <c r="I24" s="2871">
        <v>0</v>
      </c>
      <c r="J24" s="2897">
        <f>IF(C24="",0,HLOOKUP(C24,'Part V-Utility Allowances'!$I$11:$M$22,12))</f>
        <v>163</v>
      </c>
      <c r="K24" s="2873"/>
      <c r="L24" s="537">
        <f t="shared" si="0"/>
        <v>620</v>
      </c>
      <c r="M24" s="537">
        <f t="shared" si="1"/>
        <v>3100</v>
      </c>
      <c r="N24" s="2712" t="s">
        <v>2772</v>
      </c>
      <c r="O24" s="2874" t="s">
        <v>6596</v>
      </c>
      <c r="P24" s="2712" t="s">
        <v>2192</v>
      </c>
      <c r="Q24" s="2875" t="s">
        <v>2772</v>
      </c>
      <c r="R24" s="2876"/>
      <c r="S24" s="2877"/>
      <c r="T24" s="3832"/>
      <c r="U24" s="3833"/>
      <c r="V24" s="3833"/>
      <c r="W24" s="383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f t="shared" si="20"/>
        <v>5</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f t="shared" si="135"/>
        <v>6320</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5</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5</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5</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5</v>
      </c>
      <c r="MO24" s="1815">
        <f t="shared" si="337"/>
        <v>0</v>
      </c>
      <c r="MP24" s="1815">
        <f t="shared" si="322"/>
        <v>0</v>
      </c>
      <c r="MQ24" s="1815">
        <f t="shared" si="323"/>
        <v>0</v>
      </c>
      <c r="MR24" s="1815">
        <f t="shared" si="324"/>
        <v>0</v>
      </c>
      <c r="MS24" s="1815">
        <f t="shared" si="325"/>
        <v>0</v>
      </c>
      <c r="MT24" s="1815">
        <f t="shared" si="326"/>
        <v>0</v>
      </c>
      <c r="NP24" s="2807" t="s">
        <v>6730</v>
      </c>
    </row>
    <row r="25" spans="1:380" ht="13.9" customHeight="1">
      <c r="A25" s="108" t="str">
        <f t="shared" si="327"/>
        <v/>
      </c>
      <c r="B25" s="2896">
        <v>60</v>
      </c>
      <c r="C25" s="2869">
        <v>3</v>
      </c>
      <c r="D25" s="2870">
        <v>2</v>
      </c>
      <c r="E25" s="2871">
        <v>9</v>
      </c>
      <c r="F25" s="2871">
        <v>1264</v>
      </c>
      <c r="G25" s="2871">
        <v>972</v>
      </c>
      <c r="H25" s="2871">
        <v>818</v>
      </c>
      <c r="I25" s="2871">
        <v>0</v>
      </c>
      <c r="J25" s="2897">
        <f>IF(C25="",0,HLOOKUP(C25,'Part V-Utility Allowances'!$I$11:$M$22,12))</f>
        <v>163</v>
      </c>
      <c r="K25" s="2873"/>
      <c r="L25" s="537">
        <f t="shared" si="0"/>
        <v>655</v>
      </c>
      <c r="M25" s="537">
        <f t="shared" si="1"/>
        <v>5895</v>
      </c>
      <c r="N25" s="2712" t="s">
        <v>2772</v>
      </c>
      <c r="O25" s="2874" t="s">
        <v>6596</v>
      </c>
      <c r="P25" s="2712" t="s">
        <v>2192</v>
      </c>
      <c r="Q25" s="2875" t="s">
        <v>2772</v>
      </c>
      <c r="R25" s="2876"/>
      <c r="S25" s="2877"/>
      <c r="T25" s="3832"/>
      <c r="U25" s="3833"/>
      <c r="V25" s="3833"/>
      <c r="W25" s="383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9</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11376</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9</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9</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9</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9</v>
      </c>
      <c r="MO25" s="1815">
        <f t="shared" si="337"/>
        <v>0</v>
      </c>
      <c r="MP25" s="1815">
        <f t="shared" si="322"/>
        <v>0</v>
      </c>
      <c r="MQ25" s="1815">
        <f t="shared" si="323"/>
        <v>0</v>
      </c>
      <c r="MR25" s="1815">
        <f t="shared" si="324"/>
        <v>0</v>
      </c>
      <c r="MS25" s="1815">
        <f t="shared" si="325"/>
        <v>0</v>
      </c>
      <c r="MT25" s="1815">
        <f t="shared" si="326"/>
        <v>0</v>
      </c>
      <c r="NP25" s="2807" t="s">
        <v>6731</v>
      </c>
    </row>
    <row r="26" spans="1:380" ht="13.9" customHeight="1">
      <c r="A26" s="108" t="str">
        <f t="shared" si="327"/>
        <v/>
      </c>
      <c r="B26" s="2896">
        <v>70</v>
      </c>
      <c r="C26" s="2869">
        <v>3</v>
      </c>
      <c r="D26" s="2870">
        <v>2</v>
      </c>
      <c r="E26" s="2871">
        <v>2</v>
      </c>
      <c r="F26" s="2871">
        <v>1264</v>
      </c>
      <c r="G26" s="2871">
        <v>1134</v>
      </c>
      <c r="H26" s="2871">
        <v>848</v>
      </c>
      <c r="I26" s="2871">
        <v>0</v>
      </c>
      <c r="J26" s="2897">
        <f>IF(C26="",0,HLOOKUP(C26,'Part V-Utility Allowances'!$I$11:$M$22,12))</f>
        <v>163</v>
      </c>
      <c r="K26" s="2873"/>
      <c r="L26" s="537">
        <f t="shared" si="0"/>
        <v>685</v>
      </c>
      <c r="M26" s="537">
        <f t="shared" si="1"/>
        <v>1370</v>
      </c>
      <c r="N26" s="2712" t="s">
        <v>2772</v>
      </c>
      <c r="O26" s="2874" t="s">
        <v>6596</v>
      </c>
      <c r="P26" s="2712" t="s">
        <v>2192</v>
      </c>
      <c r="Q26" s="2875" t="s">
        <v>2772</v>
      </c>
      <c r="R26" s="2876"/>
      <c r="S26" s="2877"/>
      <c r="T26" s="3832"/>
      <c r="U26" s="3833"/>
      <c r="V26" s="3833"/>
      <c r="W26" s="383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2</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2528</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2</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2</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2</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2</v>
      </c>
      <c r="MO26" s="1815">
        <f t="shared" si="337"/>
        <v>0</v>
      </c>
      <c r="MP26" s="1815">
        <f t="shared" si="322"/>
        <v>0</v>
      </c>
      <c r="MQ26" s="1815">
        <f t="shared" si="323"/>
        <v>0</v>
      </c>
      <c r="MR26" s="1815">
        <f t="shared" si="324"/>
        <v>0</v>
      </c>
      <c r="MS26" s="1815">
        <f t="shared" si="325"/>
        <v>0</v>
      </c>
      <c r="MT26" s="1815">
        <f t="shared" si="326"/>
        <v>0</v>
      </c>
      <c r="NP26" s="2807" t="s">
        <v>6732</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2"/>
      <c r="U27" s="3833"/>
      <c r="V27" s="3833"/>
      <c r="W27" s="383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6733</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2"/>
      <c r="U28" s="3833"/>
      <c r="V28" s="3833"/>
      <c r="W28" s="383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6734</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2"/>
      <c r="U29" s="3833"/>
      <c r="V29" s="3833"/>
      <c r="W29" s="383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2"/>
      <c r="U30" s="3833"/>
      <c r="V30" s="3833"/>
      <c r="W30" s="383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2"/>
      <c r="U31" s="3833"/>
      <c r="V31" s="3833"/>
      <c r="W31" s="383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2"/>
      <c r="U32" s="3833"/>
      <c r="V32" s="3833"/>
      <c r="W32" s="383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2"/>
      <c r="U33" s="3833"/>
      <c r="V33" s="3833"/>
      <c r="W33" s="383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2"/>
      <c r="U34" s="3833"/>
      <c r="V34" s="3833"/>
      <c r="W34" s="383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2"/>
      <c r="U35" s="3833"/>
      <c r="V35" s="3833"/>
      <c r="W35" s="383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2"/>
      <c r="U36" s="3833"/>
      <c r="V36" s="3833"/>
      <c r="W36" s="383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2"/>
      <c r="U37" s="3833"/>
      <c r="V37" s="3833"/>
      <c r="W37" s="383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2"/>
      <c r="U38" s="3833"/>
      <c r="V38" s="3833"/>
      <c r="W38" s="383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2"/>
      <c r="U39" s="3833"/>
      <c r="V39" s="3833"/>
      <c r="W39" s="383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2"/>
      <c r="U40" s="3833"/>
      <c r="V40" s="3833"/>
      <c r="W40" s="383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2"/>
      <c r="U41" s="3833"/>
      <c r="V41" s="3833"/>
      <c r="W41" s="383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2"/>
      <c r="U42" s="3833"/>
      <c r="V42" s="3833"/>
      <c r="W42" s="383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2"/>
      <c r="U43" s="3833"/>
      <c r="V43" s="3833"/>
      <c r="W43" s="383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2"/>
      <c r="U44" s="3833"/>
      <c r="V44" s="3833"/>
      <c r="W44" s="383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2"/>
      <c r="U45" s="3833"/>
      <c r="V45" s="3833"/>
      <c r="W45" s="383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2"/>
      <c r="U46" s="3833"/>
      <c r="V46" s="3833"/>
      <c r="W46" s="383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2"/>
      <c r="U47" s="3833"/>
      <c r="V47" s="3833"/>
      <c r="W47" s="383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38"/>
      <c r="U48" s="3839"/>
      <c r="V48" s="3839"/>
      <c r="W48" s="384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3.9" customHeight="1">
      <c r="A49" s="1500">
        <f>COUNT(A11,A12,A13,A14,A15,A16,A17,A18,A19,A20,A21,A22,A23,A24,A25,A26,A27,A28,A29,A30,A31,A32,A33,A34,A35,A36,A37,A38,A39,A40)</f>
        <v>0</v>
      </c>
      <c r="B49" s="3908" t="s">
        <v>3923</v>
      </c>
      <c r="C49" s="3909"/>
      <c r="D49" s="137" t="s">
        <v>979</v>
      </c>
      <c r="E49" s="1194">
        <f>SUM(E11:E48)</f>
        <v>48</v>
      </c>
      <c r="F49" s="1192">
        <f>(E11*F11+E12*F12+E13*F13+E14*F14+E15*F15+E16*F16+E17*F17+E18*F18+E19*F19+E20*F20+E21*F21+E22*F22+E23*F23+E24*F24+E25*F25+E26*F26+E27*F27+E28*F28+E29*F29+E30*F30+E31*F31+E32*F32+E33*F33+E34*F34+E35*F35+E36*F36+E37*F37+E38*F38+E39*F39+E40*F40+E41*F41+E42*F42+E43*F43+E44*F44+E45*F45+E46*F46+E47*F47+E48*F48)</f>
        <v>51936</v>
      </c>
      <c r="H49" s="3844" t="s">
        <v>3920</v>
      </c>
      <c r="I49" s="2907" t="s">
        <v>3921</v>
      </c>
      <c r="J49" s="1195" t="str">
        <f>IF(P67=0,"",IF(SUM(P58:P62)/P67&gt;=0.4,"Pass","Fail"))</f>
        <v>Pass</v>
      </c>
      <c r="K49" s="521"/>
      <c r="L49" s="794" t="s">
        <v>1254</v>
      </c>
      <c r="M49" s="122">
        <f>SUM(M11:M48)</f>
        <v>28340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1</v>
      </c>
      <c r="AE49" s="1816">
        <f t="shared" si="339"/>
        <v>3</v>
      </c>
      <c r="AF49" s="1816">
        <f t="shared" si="339"/>
        <v>2</v>
      </c>
      <c r="AG49" s="1816">
        <f t="shared" si="339"/>
        <v>0</v>
      </c>
      <c r="AH49" s="1816">
        <f t="shared" si="339"/>
        <v>0</v>
      </c>
      <c r="AI49" s="1816">
        <f t="shared" si="339"/>
        <v>4</v>
      </c>
      <c r="AJ49" s="1816">
        <f t="shared" si="339"/>
        <v>13</v>
      </c>
      <c r="AK49" s="1816">
        <f t="shared" si="339"/>
        <v>9</v>
      </c>
      <c r="AL49" s="1816">
        <f t="shared" si="339"/>
        <v>0</v>
      </c>
      <c r="AM49" s="1816">
        <f>SUM(AM11:AM48)</f>
        <v>0</v>
      </c>
      <c r="AN49" s="1816">
        <f>SUM(AN11:AN48)</f>
        <v>3</v>
      </c>
      <c r="AO49" s="1816">
        <f>SUM(AO11:AO48)</f>
        <v>8</v>
      </c>
      <c r="AP49" s="1816">
        <f>SUM(AP11:AP48)</f>
        <v>5</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811</v>
      </c>
      <c r="EP49" s="1816">
        <f t="shared" si="342"/>
        <v>3153</v>
      </c>
      <c r="EQ49" s="1816">
        <f t="shared" si="342"/>
        <v>2528</v>
      </c>
      <c r="ER49" s="1816">
        <f t="shared" si="342"/>
        <v>0</v>
      </c>
      <c r="ES49" s="1816">
        <f t="shared" si="342"/>
        <v>0</v>
      </c>
      <c r="ET49" s="1816">
        <f t="shared" si="342"/>
        <v>3244</v>
      </c>
      <c r="EU49" s="1816">
        <f t="shared" si="342"/>
        <v>13663</v>
      </c>
      <c r="EV49" s="1816">
        <f t="shared" si="342"/>
        <v>11376</v>
      </c>
      <c r="EW49" s="1816">
        <f t="shared" si="342"/>
        <v>0</v>
      </c>
      <c r="EX49" s="1816">
        <f t="shared" si="338"/>
        <v>0</v>
      </c>
      <c r="EY49" s="1816">
        <f t="shared" si="338"/>
        <v>2433</v>
      </c>
      <c r="EZ49" s="1816">
        <f t="shared" si="338"/>
        <v>8408</v>
      </c>
      <c r="FA49" s="1816">
        <f t="shared" si="338"/>
        <v>6320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8</v>
      </c>
      <c r="GI49" s="1816">
        <f t="shared" si="343"/>
        <v>24</v>
      </c>
      <c r="GJ49" s="1816">
        <f t="shared" si="343"/>
        <v>16</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8</v>
      </c>
      <c r="IB49" s="1816">
        <f t="shared" si="344"/>
        <v>24</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8</v>
      </c>
      <c r="JU49" s="1816">
        <f t="shared" si="344"/>
        <v>24</v>
      </c>
      <c r="JV49" s="1816">
        <f t="shared" si="344"/>
        <v>16</v>
      </c>
      <c r="JW49" s="1816">
        <f t="shared" si="344"/>
        <v>0</v>
      </c>
      <c r="JX49" s="1816">
        <f>SUM(JX11:JX48)</f>
        <v>0</v>
      </c>
      <c r="JY49" s="1816">
        <f>SUM(JY11:JY48)</f>
        <v>0</v>
      </c>
      <c r="JZ49" s="1816">
        <f>SUM(JZ11:JZ48)</f>
        <v>0</v>
      </c>
      <c r="KA49" s="1816">
        <f>SUM(KA11:KA48)</f>
        <v>0</v>
      </c>
      <c r="KB49" s="1816">
        <f>SUM(KB11:KB48)</f>
        <v>0</v>
      </c>
      <c r="KC49" s="1816">
        <f t="shared" si="344"/>
        <v>0</v>
      </c>
      <c r="KD49" s="1816">
        <f t="shared" si="344"/>
        <v>0</v>
      </c>
      <c r="KE49" s="1816">
        <f t="shared" si="344"/>
        <v>0</v>
      </c>
      <c r="KF49" s="1816">
        <f t="shared" si="344"/>
        <v>0</v>
      </c>
      <c r="KG49" s="1816">
        <f t="shared" si="344"/>
        <v>0</v>
      </c>
      <c r="KH49" s="1816">
        <f>SUM(KH11:KH48)</f>
        <v>0</v>
      </c>
      <c r="KI49" s="1816">
        <f>SUM(KI11:KI48)</f>
        <v>0</v>
      </c>
      <c r="KJ49" s="1816">
        <f>SUM(KJ11:KJ48)</f>
        <v>0</v>
      </c>
      <c r="KK49" s="1816">
        <f>SUM(KK11:KK48)</f>
        <v>0</v>
      </c>
      <c r="KL49" s="1816">
        <f>SUM(KL11:KL48)</f>
        <v>0</v>
      </c>
      <c r="KM49" s="1816">
        <f t="shared" ref="KM49:LA49" si="345">SUM(KM11:KM48)</f>
        <v>0</v>
      </c>
      <c r="KN49" s="1816">
        <f t="shared" si="345"/>
        <v>0</v>
      </c>
      <c r="KO49" s="1816">
        <f t="shared" si="345"/>
        <v>0</v>
      </c>
      <c r="KP49" s="1816">
        <f t="shared" si="345"/>
        <v>0</v>
      </c>
      <c r="KQ49" s="1816">
        <f t="shared" si="345"/>
        <v>0</v>
      </c>
      <c r="KR49" s="1816">
        <f>SUM(KR11:KR48)</f>
        <v>0</v>
      </c>
      <c r="KS49" s="1816">
        <f>SUM(KS11:KS48)</f>
        <v>0</v>
      </c>
      <c r="KT49" s="1816">
        <f>SUM(KT11:KT48)</f>
        <v>0</v>
      </c>
      <c r="KU49" s="1816">
        <f>SUM(KU11:KU48)</f>
        <v>0</v>
      </c>
      <c r="KV49" s="1816">
        <f>SUM(KV11:KV48)</f>
        <v>0</v>
      </c>
      <c r="KW49" s="1816">
        <f t="shared" si="345"/>
        <v>0</v>
      </c>
      <c r="KX49" s="1816">
        <f t="shared" si="345"/>
        <v>0</v>
      </c>
      <c r="KY49" s="1816">
        <f t="shared" si="345"/>
        <v>0</v>
      </c>
      <c r="KZ49" s="1816">
        <f t="shared" si="345"/>
        <v>0</v>
      </c>
      <c r="LA49" s="1816">
        <f t="shared" si="345"/>
        <v>0</v>
      </c>
      <c r="LB49" s="1816">
        <f>SUM(LB11:LB48)</f>
        <v>0</v>
      </c>
      <c r="LC49" s="1816">
        <f>SUM(LC11:LC48)</f>
        <v>0</v>
      </c>
      <c r="LD49" s="1816">
        <f>SUM(LD11:LD48)</f>
        <v>0</v>
      </c>
      <c r="LE49" s="1816">
        <f>SUM(LE11:LE48)</f>
        <v>0</v>
      </c>
      <c r="LF49" s="1816">
        <f>SUM(LF11:LF48)</f>
        <v>0</v>
      </c>
      <c r="LG49" s="1816">
        <f t="shared" ref="LG49:MU49" si="346">SUM(LG11:LG48)</f>
        <v>0</v>
      </c>
      <c r="LH49" s="1816">
        <f t="shared" si="346"/>
        <v>0</v>
      </c>
      <c r="LI49" s="1816">
        <f t="shared" si="346"/>
        <v>0</v>
      </c>
      <c r="LJ49" s="1816">
        <f t="shared" si="346"/>
        <v>0</v>
      </c>
      <c r="LK49" s="1816">
        <f t="shared" si="346"/>
        <v>0</v>
      </c>
      <c r="LL49" s="1816">
        <f t="shared" si="346"/>
        <v>0</v>
      </c>
      <c r="LM49" s="1816">
        <f t="shared" si="346"/>
        <v>0</v>
      </c>
      <c r="LN49" s="1816">
        <f t="shared" si="346"/>
        <v>0</v>
      </c>
      <c r="LO49" s="1816">
        <f t="shared" si="346"/>
        <v>0</v>
      </c>
      <c r="LP49" s="1816">
        <f t="shared" si="346"/>
        <v>0</v>
      </c>
      <c r="LQ49" s="1816">
        <f t="shared" si="346"/>
        <v>0</v>
      </c>
      <c r="LR49" s="1816">
        <f t="shared" si="346"/>
        <v>0</v>
      </c>
      <c r="LS49" s="1816">
        <f t="shared" si="346"/>
        <v>0</v>
      </c>
      <c r="LT49" s="1816">
        <f t="shared" si="346"/>
        <v>0</v>
      </c>
      <c r="LU49" s="1816">
        <f t="shared" si="346"/>
        <v>0</v>
      </c>
      <c r="LV49" s="1816">
        <f t="shared" si="346"/>
        <v>0</v>
      </c>
      <c r="LW49" s="1816">
        <f t="shared" si="346"/>
        <v>0</v>
      </c>
      <c r="LX49" s="1816">
        <f t="shared" si="346"/>
        <v>0</v>
      </c>
      <c r="LY49" s="1816">
        <f t="shared" si="346"/>
        <v>0</v>
      </c>
      <c r="LZ49" s="1816">
        <f t="shared" si="346"/>
        <v>0</v>
      </c>
      <c r="MA49" s="1816">
        <f t="shared" si="346"/>
        <v>0</v>
      </c>
      <c r="MB49" s="1816">
        <f t="shared" si="346"/>
        <v>0</v>
      </c>
      <c r="MC49" s="1816">
        <f t="shared" si="346"/>
        <v>0</v>
      </c>
      <c r="MD49" s="1816">
        <f t="shared" si="346"/>
        <v>0</v>
      </c>
      <c r="ME49" s="1816">
        <f t="shared" si="346"/>
        <v>0</v>
      </c>
      <c r="MF49" s="1816">
        <f t="shared" si="346"/>
        <v>0</v>
      </c>
      <c r="MG49" s="1816">
        <f t="shared" si="346"/>
        <v>0</v>
      </c>
      <c r="MH49" s="1816">
        <f t="shared" si="346"/>
        <v>0</v>
      </c>
      <c r="MI49" s="1816">
        <f t="shared" si="346"/>
        <v>0</v>
      </c>
      <c r="MJ49" s="1816">
        <f t="shared" si="346"/>
        <v>0</v>
      </c>
      <c r="MK49" s="1816">
        <f t="shared" si="346"/>
        <v>0</v>
      </c>
      <c r="ML49" s="1816">
        <f t="shared" si="346"/>
        <v>8</v>
      </c>
      <c r="MM49" s="1816">
        <f t="shared" si="346"/>
        <v>24</v>
      </c>
      <c r="MN49" s="1816">
        <f t="shared" si="346"/>
        <v>16</v>
      </c>
      <c r="MO49" s="1816">
        <f t="shared" si="346"/>
        <v>0</v>
      </c>
      <c r="MP49" s="1816">
        <f t="shared" si="346"/>
        <v>0</v>
      </c>
      <c r="MQ49" s="1816">
        <f t="shared" si="346"/>
        <v>0</v>
      </c>
      <c r="MR49" s="1816">
        <f t="shared" si="346"/>
        <v>0</v>
      </c>
      <c r="MS49" s="1816">
        <f t="shared" si="346"/>
        <v>0</v>
      </c>
      <c r="MT49" s="1816">
        <f t="shared" si="346"/>
        <v>0</v>
      </c>
      <c r="MU49" s="1816">
        <f t="shared" si="346"/>
        <v>0</v>
      </c>
      <c r="NP49" s="2807" t="s">
        <v>6755</v>
      </c>
    </row>
    <row r="50" spans="1:380" s="146" customFormat="1" ht="13.9" customHeight="1">
      <c r="B50" s="3910">
        <f>IF(SUM(E18:E48)=0,"",(B18*E18+B19*E19+B20*E20+B21*E21+B22*E22+B23*E23+B24*E24+B25*E25+B26*E26+B27*E27+B28*E28+B29*E29+B30*E30+B31*E31+B32*E32+B33*E33+B34*E34+B35*E35+B36*E36+B37*E37+B38*E38+B39*E39+B40*E40+B41*E41+B42*E42+B43*E43+B44*E44+B45*E45+B46*E46+B47*E47+B48*E48)/SUM(E18:E48))</f>
        <v>57.916666666666664</v>
      </c>
      <c r="C50" s="3911"/>
      <c r="D50" s="2648" t="s">
        <v>3830</v>
      </c>
      <c r="E50" s="1191">
        <f>SUM(E18:E48)</f>
        <v>48</v>
      </c>
      <c r="F50" s="1193">
        <f>(E18*F18+E19*F19+E20*F20+E21*F21+E22*F22+E23*F23+E24*F24+E25*F25+E26*F26+E27*F27+E28*F28+E29*F29+E30*F30+E31*F31+E32*F32+E33*F33+E34*F34+E35*F35+E36*F36+E37*F37+E38*F38+E39*F39+E40*F40+E41*F41+E42*F42+E43*F43+E44*F44+E45*F45+E46*F46+E47*F47+E48*F48)</f>
        <v>51936</v>
      </c>
      <c r="H50" s="3845"/>
      <c r="I50" s="2908" t="s">
        <v>3922</v>
      </c>
      <c r="J50" s="1196" t="str">
        <f>IF(P67=0,"",IF(SUM(P59:P62)/P67&gt;=0.2,"Pass","Fail"))</f>
        <v>Pass</v>
      </c>
      <c r="K50" s="521"/>
      <c r="L50" s="137" t="s">
        <v>781</v>
      </c>
      <c r="M50" s="122">
        <f>M49*12</f>
        <v>340080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930" t="s">
        <v>2496</v>
      </c>
      <c r="B51" s="3931"/>
      <c r="C51" s="3931"/>
      <c r="D51" s="3931"/>
      <c r="E51" s="3931"/>
      <c r="F51" s="3931"/>
      <c r="G51" s="3931"/>
      <c r="H51" s="3931"/>
      <c r="I51" s="3931"/>
      <c r="J51" s="3931"/>
      <c r="K51" s="3931"/>
      <c r="L51" s="3931"/>
      <c r="M51" s="3931"/>
      <c r="N51" s="3931"/>
      <c r="O51" s="3931"/>
      <c r="P51" s="3931"/>
      <c r="Q51" s="3931"/>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1"/>
      <c r="B52" s="3931"/>
      <c r="C52" s="3931"/>
      <c r="D52" s="3931"/>
      <c r="E52" s="3931"/>
      <c r="F52" s="3931"/>
      <c r="G52" s="3931"/>
      <c r="H52" s="3931"/>
      <c r="I52" s="3931"/>
      <c r="J52" s="3931"/>
      <c r="K52" s="3931"/>
      <c r="L52" s="3931"/>
      <c r="M52" s="3931"/>
      <c r="N52" s="3931"/>
      <c r="O52" s="3931"/>
      <c r="P52" s="3931"/>
      <c r="Q52" s="3931"/>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1" t="str">
        <f>'Part I-Project Information'!$K$94</f>
        <v>Income Averaging</v>
      </c>
      <c r="M53" s="3842"/>
      <c r="N53" s="3842"/>
      <c r="O53" s="3843"/>
      <c r="P53" s="82"/>
      <c r="S53" s="3856" t="str">
        <f>B53</f>
        <v>UNIT SUMMARY</v>
      </c>
      <c r="T53" s="3856"/>
      <c r="U53" s="3856"/>
      <c r="V53" s="385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9" t="s">
        <v>4284</v>
      </c>
      <c r="B56" s="3849"/>
      <c r="C56" s="93" t="s">
        <v>1095</v>
      </c>
      <c r="D56" s="1"/>
      <c r="E56" s="1"/>
      <c r="F56" s="1"/>
      <c r="G56" s="82"/>
      <c r="H56" s="109" t="s">
        <v>3831</v>
      </c>
      <c r="I56" s="36"/>
      <c r="J56" s="82"/>
      <c r="K56" s="1200">
        <f>X49</f>
        <v>0</v>
      </c>
      <c r="L56" s="1201">
        <f>Y49</f>
        <v>0</v>
      </c>
      <c r="M56" s="1201">
        <f>Z49</f>
        <v>0</v>
      </c>
      <c r="N56" s="1201">
        <f>AA49</f>
        <v>0</v>
      </c>
      <c r="O56" s="1202">
        <f>AB49</f>
        <v>0</v>
      </c>
      <c r="P56" s="837">
        <f t="shared" ref="P56:P67" si="347">SUM(K56:O56)</f>
        <v>0</v>
      </c>
      <c r="Q56" s="3928" t="s">
        <v>3309</v>
      </c>
      <c r="R56" s="2659"/>
      <c r="S56" s="3853"/>
      <c r="T56" s="3854"/>
      <c r="U56" s="3854"/>
      <c r="V56" s="3854"/>
      <c r="W56" s="3855"/>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9"/>
      <c r="B57" s="3849"/>
      <c r="C57" s="93"/>
      <c r="D57" s="1"/>
      <c r="E57" s="1"/>
      <c r="F57" s="1"/>
      <c r="G57" s="82"/>
      <c r="H57" s="109" t="s">
        <v>3832</v>
      </c>
      <c r="I57" s="36"/>
      <c r="J57" s="82"/>
      <c r="K57" s="1203">
        <f>AC49</f>
        <v>0</v>
      </c>
      <c r="L57" s="1204">
        <f>AD49</f>
        <v>1</v>
      </c>
      <c r="M57" s="1204">
        <f>AE49</f>
        <v>3</v>
      </c>
      <c r="N57" s="1204">
        <f>AF49</f>
        <v>2</v>
      </c>
      <c r="O57" s="1205">
        <f>AG49</f>
        <v>0</v>
      </c>
      <c r="P57" s="833">
        <f t="shared" si="347"/>
        <v>6</v>
      </c>
      <c r="Q57" s="3928"/>
      <c r="R57" s="2659"/>
      <c r="S57" s="3832"/>
      <c r="T57" s="3833"/>
      <c r="U57" s="3833"/>
      <c r="V57" s="3833"/>
      <c r="W57" s="383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9"/>
      <c r="B58" s="3849"/>
      <c r="C58" s="93"/>
      <c r="D58" s="1"/>
      <c r="E58" s="1"/>
      <c r="F58" s="1"/>
      <c r="G58" s="82"/>
      <c r="H58" s="109" t="s">
        <v>1107</v>
      </c>
      <c r="I58" s="36"/>
      <c r="J58" s="82"/>
      <c r="K58" s="1203">
        <f>AH49</f>
        <v>0</v>
      </c>
      <c r="L58" s="1204">
        <f>AI49</f>
        <v>4</v>
      </c>
      <c r="M58" s="1204">
        <f>AJ49</f>
        <v>13</v>
      </c>
      <c r="N58" s="1204">
        <f>AK49</f>
        <v>9</v>
      </c>
      <c r="O58" s="1205">
        <f>AL49</f>
        <v>0</v>
      </c>
      <c r="P58" s="833">
        <f t="shared" si="347"/>
        <v>26</v>
      </c>
      <c r="Q58" s="3928"/>
      <c r="R58" s="2659"/>
      <c r="S58" s="3832"/>
      <c r="T58" s="3833"/>
      <c r="U58" s="3833"/>
      <c r="V58" s="3833"/>
      <c r="W58" s="383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9"/>
      <c r="B59" s="3849"/>
      <c r="C59" s="93"/>
      <c r="D59" s="1"/>
      <c r="E59" s="1"/>
      <c r="F59" s="1"/>
      <c r="G59" s="82"/>
      <c r="H59" s="102" t="s">
        <v>111</v>
      </c>
      <c r="I59" s="52"/>
      <c r="J59" s="982"/>
      <c r="K59" s="1224">
        <f>AM49</f>
        <v>0</v>
      </c>
      <c r="L59" s="1225">
        <f>AN49</f>
        <v>3</v>
      </c>
      <c r="M59" s="1225">
        <f>AO49</f>
        <v>8</v>
      </c>
      <c r="N59" s="1225">
        <f>AP49</f>
        <v>5</v>
      </c>
      <c r="O59" s="1226">
        <f>AQ49</f>
        <v>0</v>
      </c>
      <c r="P59" s="542">
        <f t="shared" si="347"/>
        <v>16</v>
      </c>
      <c r="Q59" s="3928"/>
      <c r="R59" s="2659"/>
      <c r="S59" s="3832"/>
      <c r="T59" s="3833"/>
      <c r="U59" s="3833"/>
      <c r="V59" s="3833"/>
      <c r="W59" s="383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9"/>
      <c r="B60" s="3849"/>
      <c r="C60" s="93"/>
      <c r="D60" s="1"/>
      <c r="E60" s="1"/>
      <c r="F60" s="1"/>
      <c r="G60" s="82"/>
      <c r="H60" s="102" t="s">
        <v>3833</v>
      </c>
      <c r="I60" s="52"/>
      <c r="J60" s="982"/>
      <c r="K60" s="1203">
        <f>AR49</f>
        <v>0</v>
      </c>
      <c r="L60" s="1204">
        <f>AS49</f>
        <v>0</v>
      </c>
      <c r="M60" s="1204">
        <f>AT49</f>
        <v>0</v>
      </c>
      <c r="N60" s="1204">
        <f>AU49</f>
        <v>0</v>
      </c>
      <c r="O60" s="1205">
        <f>AV49</f>
        <v>0</v>
      </c>
      <c r="P60" s="833">
        <f t="shared" si="347"/>
        <v>0</v>
      </c>
      <c r="Q60" s="3928"/>
      <c r="R60" s="2659"/>
      <c r="S60" s="3832"/>
      <c r="T60" s="3833"/>
      <c r="U60" s="3833"/>
      <c r="V60" s="3833"/>
      <c r="W60" s="383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9"/>
      <c r="B61" s="3849"/>
      <c r="C61" s="93"/>
      <c r="D61" s="1"/>
      <c r="E61" s="1"/>
      <c r="F61" s="1"/>
      <c r="G61" s="82"/>
      <c r="H61" s="109" t="s">
        <v>3834</v>
      </c>
      <c r="I61" s="36"/>
      <c r="J61" s="82"/>
      <c r="K61" s="1203">
        <f>AW49</f>
        <v>0</v>
      </c>
      <c r="L61" s="1204">
        <f>AX49</f>
        <v>0</v>
      </c>
      <c r="M61" s="1204">
        <f>AY49</f>
        <v>0</v>
      </c>
      <c r="N61" s="1204">
        <f>AZ49</f>
        <v>0</v>
      </c>
      <c r="O61" s="1205">
        <f>BA49</f>
        <v>0</v>
      </c>
      <c r="P61" s="833">
        <f t="shared" si="347"/>
        <v>0</v>
      </c>
      <c r="Q61" s="3928"/>
      <c r="R61" s="2659"/>
      <c r="S61" s="3832"/>
      <c r="T61" s="3833"/>
      <c r="U61" s="3833"/>
      <c r="V61" s="3833"/>
      <c r="W61" s="383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9"/>
      <c r="B62" s="3849"/>
      <c r="C62" s="4"/>
      <c r="D62" s="1"/>
      <c r="E62" s="1"/>
      <c r="F62" s="1"/>
      <c r="G62" s="82"/>
      <c r="H62" s="109" t="s">
        <v>3835</v>
      </c>
      <c r="I62" s="36"/>
      <c r="J62" s="82"/>
      <c r="K62" s="1206">
        <f>BB49</f>
        <v>0</v>
      </c>
      <c r="L62" s="1207">
        <f>BC49</f>
        <v>0</v>
      </c>
      <c r="M62" s="1207">
        <f>BD49</f>
        <v>0</v>
      </c>
      <c r="N62" s="1207">
        <f>BE49</f>
        <v>0</v>
      </c>
      <c r="O62" s="1208">
        <f>BF49</f>
        <v>0</v>
      </c>
      <c r="P62" s="542">
        <f t="shared" si="347"/>
        <v>0</v>
      </c>
      <c r="Q62" s="3928"/>
      <c r="R62" s="2659"/>
      <c r="S62" s="3832"/>
      <c r="T62" s="3833"/>
      <c r="U62" s="3833"/>
      <c r="V62" s="3833"/>
      <c r="W62" s="383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9"/>
      <c r="B63" s="3849"/>
      <c r="C63" s="109" t="s">
        <v>3917</v>
      </c>
      <c r="D63" s="1"/>
      <c r="E63" s="1"/>
      <c r="F63" s="1"/>
      <c r="G63" s="82"/>
      <c r="H63" s="89"/>
      <c r="I63" s="55"/>
      <c r="J63" s="82"/>
      <c r="K63" s="1180">
        <f>SUM(K56:K62)</f>
        <v>0</v>
      </c>
      <c r="L63" s="1180">
        <f>SUM(L56:L62)</f>
        <v>8</v>
      </c>
      <c r="M63" s="1180">
        <f>SUM(M56:M62)</f>
        <v>24</v>
      </c>
      <c r="N63" s="1180">
        <f>SUM(N56:N62)</f>
        <v>16</v>
      </c>
      <c r="O63" s="1180">
        <f>SUM(O56:O62)</f>
        <v>0</v>
      </c>
      <c r="P63" s="1180">
        <f t="shared" si="347"/>
        <v>48</v>
      </c>
      <c r="Q63" s="3929"/>
      <c r="S63" s="3832"/>
      <c r="T63" s="3833"/>
      <c r="U63" s="3833"/>
      <c r="V63" s="3833"/>
      <c r="W63" s="383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9"/>
      <c r="B64" s="3849"/>
      <c r="D64" s="1"/>
      <c r="E64" s="1"/>
      <c r="F64" s="1"/>
      <c r="G64" s="82"/>
      <c r="H64" s="109" t="s">
        <v>292</v>
      </c>
      <c r="I64" s="36"/>
      <c r="J64" s="82"/>
      <c r="K64" s="834">
        <f>BG49</f>
        <v>0</v>
      </c>
      <c r="L64" s="834">
        <f>BH49</f>
        <v>0</v>
      </c>
      <c r="M64" s="834">
        <f>BI49</f>
        <v>0</v>
      </c>
      <c r="N64" s="834">
        <f>BJ49</f>
        <v>0</v>
      </c>
      <c r="O64" s="834">
        <f>BK49</f>
        <v>0</v>
      </c>
      <c r="P64" s="834">
        <f t="shared" si="347"/>
        <v>0</v>
      </c>
      <c r="S64" s="3832"/>
      <c r="T64" s="3833"/>
      <c r="U64" s="3833"/>
      <c r="V64" s="3833"/>
      <c r="W64" s="383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9"/>
      <c r="B65" s="3849"/>
      <c r="C65" s="1185" t="s">
        <v>1096</v>
      </c>
      <c r="D65" s="1185"/>
      <c r="E65" s="1185"/>
      <c r="F65" s="1185"/>
      <c r="G65" s="1186"/>
      <c r="H65" s="1502"/>
      <c r="I65" s="49"/>
      <c r="J65" s="1186"/>
      <c r="K65" s="1187">
        <f>SUM(K63:K64)</f>
        <v>0</v>
      </c>
      <c r="L65" s="1187">
        <f>SUM(L63:L64)</f>
        <v>8</v>
      </c>
      <c r="M65" s="1187">
        <f>SUM(M63:M64)</f>
        <v>24</v>
      </c>
      <c r="N65" s="1187">
        <f>SUM(N63:N64)</f>
        <v>16</v>
      </c>
      <c r="O65" s="1187">
        <f>SUM(O63:O64)</f>
        <v>0</v>
      </c>
      <c r="P65" s="1187">
        <f t="shared" si="347"/>
        <v>48</v>
      </c>
      <c r="S65" s="3832"/>
      <c r="T65" s="3833"/>
      <c r="U65" s="3833"/>
      <c r="V65" s="3833"/>
      <c r="W65" s="383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9"/>
      <c r="B66" s="3849"/>
      <c r="D66" s="1"/>
      <c r="E66" s="1"/>
      <c r="F66" s="1"/>
      <c r="G66" s="82"/>
      <c r="H66" s="109" t="s">
        <v>2393</v>
      </c>
      <c r="I66" s="36"/>
      <c r="J66" s="82"/>
      <c r="K66" s="834">
        <f>ED49</f>
        <v>0</v>
      </c>
      <c r="L66" s="834">
        <f>EE49</f>
        <v>0</v>
      </c>
      <c r="M66" s="834">
        <f>EF49</f>
        <v>0</v>
      </c>
      <c r="N66" s="834">
        <f>EG49</f>
        <v>0</v>
      </c>
      <c r="O66" s="834">
        <f>EH49</f>
        <v>0</v>
      </c>
      <c r="P66" s="834">
        <f t="shared" si="347"/>
        <v>0</v>
      </c>
      <c r="Q66" s="465" t="s">
        <v>3310</v>
      </c>
      <c r="S66" s="3832"/>
      <c r="T66" s="3833"/>
      <c r="U66" s="3833"/>
      <c r="V66" s="3833"/>
      <c r="W66" s="383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9"/>
      <c r="B67" s="3849"/>
      <c r="C67" s="4" t="s">
        <v>1712</v>
      </c>
      <c r="D67" s="1"/>
      <c r="E67" s="1"/>
      <c r="F67" s="1"/>
      <c r="G67" s="82"/>
      <c r="H67" s="109"/>
      <c r="I67" s="36"/>
      <c r="J67" s="82"/>
      <c r="K67" s="1179">
        <f>SUM(K65:K66)</f>
        <v>0</v>
      </c>
      <c r="L67" s="1179">
        <f>SUM(L65:L66)</f>
        <v>8</v>
      </c>
      <c r="M67" s="1179">
        <f>SUM(M65:M66)</f>
        <v>24</v>
      </c>
      <c r="N67" s="1179">
        <f>SUM(N65:N66)</f>
        <v>16</v>
      </c>
      <c r="O67" s="1179">
        <f>SUM(O65:O66)</f>
        <v>0</v>
      </c>
      <c r="P67" s="1179">
        <f t="shared" si="347"/>
        <v>48</v>
      </c>
      <c r="S67" s="3838"/>
      <c r="T67" s="3839"/>
      <c r="U67" s="3839"/>
      <c r="V67" s="3839"/>
      <c r="W67" s="3840"/>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9"/>
      <c r="B68" s="384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9"/>
      <c r="B69" s="3849"/>
      <c r="C69" s="3907" t="s">
        <v>3928</v>
      </c>
      <c r="D69" s="3907"/>
      <c r="E69" s="3907"/>
      <c r="F69" s="390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9"/>
      <c r="B70" s="3849"/>
      <c r="C70" s="3907"/>
      <c r="D70" s="3907"/>
      <c r="E70" s="3907"/>
      <c r="F70" s="3907"/>
      <c r="G70" s="8"/>
      <c r="H70" s="109" t="s">
        <v>3831</v>
      </c>
      <c r="I70" s="36"/>
      <c r="J70" s="1497"/>
      <c r="K70" s="2910" t="str">
        <f t="shared" ref="K70:P70" si="348">IF(OR(K56=0,K67=0),"",K56/K67)</f>
        <v/>
      </c>
      <c r="L70" s="2911" t="str">
        <f t="shared" si="348"/>
        <v/>
      </c>
      <c r="M70" s="2911" t="str">
        <f t="shared" si="348"/>
        <v/>
      </c>
      <c r="N70" s="2911" t="str">
        <f t="shared" si="348"/>
        <v/>
      </c>
      <c r="O70" s="2911" t="str">
        <f t="shared" si="348"/>
        <v/>
      </c>
      <c r="P70" s="2912" t="str">
        <f t="shared" si="348"/>
        <v/>
      </c>
      <c r="Q70" s="40" t="s">
        <v>4276</v>
      </c>
      <c r="S70" s="3853"/>
      <c r="T70" s="3854"/>
      <c r="U70" s="3854"/>
      <c r="V70" s="3854"/>
      <c r="W70" s="3855"/>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9"/>
      <c r="B71" s="3849"/>
      <c r="C71" s="1294"/>
      <c r="D71" s="8"/>
      <c r="E71" s="8"/>
      <c r="F71" s="8"/>
      <c r="G71" s="8"/>
      <c r="H71" s="109" t="s">
        <v>6813</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2"/>
      <c r="T71" s="3833"/>
      <c r="U71" s="3833"/>
      <c r="V71" s="3833"/>
      <c r="W71" s="383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6814</v>
      </c>
      <c r="I72" s="2916"/>
      <c r="J72" s="1"/>
      <c r="K72" s="2917" t="str">
        <f t="shared" ref="K72:P72" si="349">IF(OR(K71="",K56=0),"", K56-K71)</f>
        <v/>
      </c>
      <c r="L72" s="2918" t="str">
        <f t="shared" si="349"/>
        <v/>
      </c>
      <c r="M72" s="2918" t="str">
        <f t="shared" si="349"/>
        <v/>
      </c>
      <c r="N72" s="2918" t="str">
        <f t="shared" si="349"/>
        <v/>
      </c>
      <c r="O72" s="2918" t="str">
        <f t="shared" si="349"/>
        <v/>
      </c>
      <c r="P72" s="2919" t="str">
        <f t="shared" si="349"/>
        <v/>
      </c>
      <c r="S72" s="3832"/>
      <c r="T72" s="3833"/>
      <c r="U72" s="3833"/>
      <c r="V72" s="3833"/>
      <c r="W72" s="383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2" t="s">
        <v>4275</v>
      </c>
      <c r="E73" s="3932"/>
      <c r="F73" s="3932"/>
      <c r="G73" s="8"/>
      <c r="H73" s="109" t="s">
        <v>3832</v>
      </c>
      <c r="I73" s="36"/>
      <c r="J73" s="1"/>
      <c r="K73" s="2920" t="str">
        <f t="shared" ref="K73:P73" si="350">IF(OR(K57=0,K67=0),"",K57/K67)</f>
        <v/>
      </c>
      <c r="L73" s="2921">
        <f t="shared" si="350"/>
        <v>0.125</v>
      </c>
      <c r="M73" s="2921">
        <f t="shared" si="350"/>
        <v>0.125</v>
      </c>
      <c r="N73" s="2921">
        <f t="shared" si="350"/>
        <v>0.125</v>
      </c>
      <c r="O73" s="2921" t="str">
        <f t="shared" si="350"/>
        <v/>
      </c>
      <c r="P73" s="2922">
        <f t="shared" si="350"/>
        <v>0.125</v>
      </c>
      <c r="S73" s="3832"/>
      <c r="T73" s="3833"/>
      <c r="U73" s="3833"/>
      <c r="V73" s="3833"/>
      <c r="W73" s="383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2"/>
      <c r="E74" s="3932"/>
      <c r="F74" s="3932"/>
      <c r="G74" s="8"/>
      <c r="H74" s="109" t="s">
        <v>6813</v>
      </c>
      <c r="I74" s="36"/>
      <c r="J74" s="1"/>
      <c r="K74" s="2913" t="str">
        <f>IF(OR(K57=0,P73="",K67=0),"",P73*K67)</f>
        <v/>
      </c>
      <c r="L74" s="2913">
        <f>IF(OR(L57=0,P73="",L67=0),"",P73*L67)</f>
        <v>1</v>
      </c>
      <c r="M74" s="2913">
        <f>IF(OR(M57=0,P73="",M67=0),"",P73*M67)</f>
        <v>3</v>
      </c>
      <c r="N74" s="2913">
        <f>IF(OR(N57=0,P73="",N67=0),"",P73*N67)</f>
        <v>2</v>
      </c>
      <c r="O74" s="2913" t="str">
        <f>IF(OR(O57=0,P73="",O67=0),"",P73*O67)</f>
        <v/>
      </c>
      <c r="P74" s="2914">
        <f>IF(OR(P73="",P67=0),"",P73*P67)</f>
        <v>6</v>
      </c>
      <c r="S74" s="3832"/>
      <c r="T74" s="3833"/>
      <c r="U74" s="3833"/>
      <c r="V74" s="3833"/>
      <c r="W74" s="383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2"/>
      <c r="E75" s="3932"/>
      <c r="F75" s="3932"/>
      <c r="G75" s="1579"/>
      <c r="H75" s="2915" t="s">
        <v>6814</v>
      </c>
      <c r="I75" s="2916"/>
      <c r="J75" s="1"/>
      <c r="K75" s="2917" t="str">
        <f t="shared" ref="K75:P75" si="351">IF(OR(K74="",K57=0),"", K57-K74)</f>
        <v/>
      </c>
      <c r="L75" s="2917">
        <f t="shared" si="351"/>
        <v>0</v>
      </c>
      <c r="M75" s="2917">
        <f t="shared" si="351"/>
        <v>0</v>
      </c>
      <c r="N75" s="2917">
        <f t="shared" si="351"/>
        <v>0</v>
      </c>
      <c r="O75" s="2917" t="str">
        <f t="shared" si="351"/>
        <v/>
      </c>
      <c r="P75" s="2917">
        <f t="shared" si="351"/>
        <v>0</v>
      </c>
      <c r="S75" s="3832"/>
      <c r="T75" s="3833"/>
      <c r="U75" s="3833"/>
      <c r="V75" s="3833"/>
      <c r="W75" s="383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32"/>
      <c r="E76" s="3932"/>
      <c r="F76" s="3932"/>
      <c r="G76" s="8"/>
      <c r="H76" s="109" t="s">
        <v>1107</v>
      </c>
      <c r="I76" s="36"/>
      <c r="J76" s="1"/>
      <c r="K76" s="2920" t="str">
        <f t="shared" ref="K76:P76" si="352">IF(OR(K58=0,K67=0),"",K58/K67)</f>
        <v/>
      </c>
      <c r="L76" s="2921">
        <f t="shared" si="352"/>
        <v>0.5</v>
      </c>
      <c r="M76" s="2921">
        <f t="shared" si="352"/>
        <v>0.54166666666666663</v>
      </c>
      <c r="N76" s="2921">
        <f t="shared" si="352"/>
        <v>0.5625</v>
      </c>
      <c r="O76" s="2921" t="str">
        <f t="shared" si="352"/>
        <v/>
      </c>
      <c r="P76" s="2922">
        <f t="shared" si="352"/>
        <v>0.54166666666666663</v>
      </c>
      <c r="S76" s="3832"/>
      <c r="T76" s="3833"/>
      <c r="U76" s="3833"/>
      <c r="V76" s="3833"/>
      <c r="W76" s="383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2"/>
      <c r="E77" s="3932"/>
      <c r="F77" s="3932"/>
      <c r="G77" s="8"/>
      <c r="H77" s="109" t="s">
        <v>6813</v>
      </c>
      <c r="I77" s="36"/>
      <c r="J77" s="1"/>
      <c r="K77" s="2913" t="str">
        <f>IF(OR(K58=0,P76="",K67=0),"",P76*K67)</f>
        <v/>
      </c>
      <c r="L77" s="2913">
        <f>IF(OR(L58=0,P76="",L67=0),"",P76*L67)</f>
        <v>4.333333333333333</v>
      </c>
      <c r="M77" s="2913">
        <f>IF(OR(M58=0,P76="",M67=0),"",P76*M67)</f>
        <v>13</v>
      </c>
      <c r="N77" s="2913">
        <f>IF(OR(N58=0,P76="",N67=0),"",P76*N67)</f>
        <v>8.6666666666666661</v>
      </c>
      <c r="O77" s="2913" t="str">
        <f>IF(OR(O58=0,P76="",O67=0),"",P76*O67)</f>
        <v/>
      </c>
      <c r="P77" s="2914">
        <f>IF(OR(P76="",P67=0),"",P76*P67)</f>
        <v>26</v>
      </c>
      <c r="S77" s="3838"/>
      <c r="T77" s="3839"/>
      <c r="U77" s="3839"/>
      <c r="V77" s="3839"/>
      <c r="W77" s="3840"/>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2"/>
      <c r="E78" s="3932"/>
      <c r="F78" s="3932"/>
      <c r="G78" s="1579"/>
      <c r="H78" s="2915" t="s">
        <v>6814</v>
      </c>
      <c r="I78" s="2916"/>
      <c r="J78" s="1"/>
      <c r="K78" s="2917" t="str">
        <f t="shared" ref="K78:P78" si="353">IF(OR(K77="",K58=0),"", K58-K77)</f>
        <v/>
      </c>
      <c r="L78" s="2917">
        <f t="shared" si="353"/>
        <v>-0.33333333333333304</v>
      </c>
      <c r="M78" s="2917">
        <f t="shared" si="353"/>
        <v>0</v>
      </c>
      <c r="N78" s="2917">
        <f t="shared" si="353"/>
        <v>0.33333333333333393</v>
      </c>
      <c r="O78" s="2917" t="str">
        <f t="shared" si="353"/>
        <v/>
      </c>
      <c r="P78" s="2917">
        <f t="shared" si="353"/>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3"/>
      <c r="E79" s="2923"/>
      <c r="F79" s="8"/>
      <c r="G79" s="8"/>
      <c r="H79" s="109" t="s">
        <v>111</v>
      </c>
      <c r="I79" s="36"/>
      <c r="J79" s="1"/>
      <c r="K79" s="2920" t="str">
        <f t="shared" ref="K79:P79" si="354">IF(OR(K59=0,K67=0),"",K59/K67)</f>
        <v/>
      </c>
      <c r="L79" s="2921">
        <f t="shared" si="354"/>
        <v>0.375</v>
      </c>
      <c r="M79" s="2921">
        <f t="shared" si="354"/>
        <v>0.33333333333333331</v>
      </c>
      <c r="N79" s="2921">
        <f t="shared" si="354"/>
        <v>0.3125</v>
      </c>
      <c r="O79" s="2921" t="str">
        <f t="shared" si="354"/>
        <v/>
      </c>
      <c r="P79" s="2922">
        <f t="shared" si="354"/>
        <v>0.33333333333333331</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6813</v>
      </c>
      <c r="I80" s="36"/>
      <c r="J80" s="1"/>
      <c r="K80" s="2913" t="str">
        <f>IF(OR(K59=0,P79="",K67=0),"",P79*K67)</f>
        <v/>
      </c>
      <c r="L80" s="2913">
        <f>IF(OR(L59=0,P79="",L67=0),"",P79*L67)</f>
        <v>2.6666666666666665</v>
      </c>
      <c r="M80" s="2913">
        <f>IF(OR(M59=0,P79="",M67=0),"",P79*M67)</f>
        <v>8</v>
      </c>
      <c r="N80" s="2913">
        <f>IF(OR(N59=0,P79="",N67=0),"",P79*N67)</f>
        <v>5.333333333333333</v>
      </c>
      <c r="O80" s="2913" t="str">
        <f>IF(OR(O59=0,P79="",O67=0),"",P79*O67)</f>
        <v/>
      </c>
      <c r="P80" s="2914">
        <f>IF(OR(P79="",P67=0),"",P79*P67)</f>
        <v>16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6814</v>
      </c>
      <c r="I81" s="2916"/>
      <c r="J81" s="1"/>
      <c r="K81" s="2917" t="str">
        <f t="shared" ref="K81:P81" si="355">IF(OR(K80="",K59=0),"", K59-K80)</f>
        <v/>
      </c>
      <c r="L81" s="2917">
        <f t="shared" si="355"/>
        <v>0.33333333333333348</v>
      </c>
      <c r="M81" s="2917">
        <f t="shared" si="355"/>
        <v>0</v>
      </c>
      <c r="N81" s="2917">
        <f t="shared" si="355"/>
        <v>-0.33333333333333304</v>
      </c>
      <c r="O81" s="2917" t="str">
        <f t="shared" si="355"/>
        <v/>
      </c>
      <c r="P81" s="2917">
        <f t="shared" si="355"/>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3"/>
      <c r="E82" s="2923"/>
      <c r="F82" s="8"/>
      <c r="G82" s="8"/>
      <c r="H82" s="109" t="s">
        <v>3833</v>
      </c>
      <c r="I82" s="36"/>
      <c r="J82" s="1"/>
      <c r="K82" s="2920" t="str">
        <f t="shared" ref="K82:P82" si="356">IF(OR(K60=0,K67=0),"",K60/K67)</f>
        <v/>
      </c>
      <c r="L82" s="2921" t="str">
        <f t="shared" si="356"/>
        <v/>
      </c>
      <c r="M82" s="2921" t="str">
        <f t="shared" si="356"/>
        <v/>
      </c>
      <c r="N82" s="2921" t="str">
        <f t="shared" si="356"/>
        <v/>
      </c>
      <c r="O82" s="2921" t="str">
        <f t="shared" si="356"/>
        <v/>
      </c>
      <c r="P82" s="2922" t="str">
        <f t="shared" si="356"/>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6814</v>
      </c>
      <c r="I84" s="2916"/>
      <c r="J84" s="1"/>
      <c r="K84" s="2917" t="str">
        <f t="shared" ref="K84:P84" si="357">IF(OR(K83="",K60=0),"", K60-K83)</f>
        <v/>
      </c>
      <c r="L84" s="2917" t="str">
        <f t="shared" si="357"/>
        <v/>
      </c>
      <c r="M84" s="2917" t="str">
        <f t="shared" si="357"/>
        <v/>
      </c>
      <c r="N84" s="2917" t="str">
        <f t="shared" si="357"/>
        <v/>
      </c>
      <c r="O84" s="2917" t="str">
        <f t="shared" si="357"/>
        <v/>
      </c>
      <c r="P84" s="2917" t="str">
        <f t="shared" si="357"/>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3834</v>
      </c>
      <c r="I85" s="36"/>
      <c r="J85" s="1"/>
      <c r="K85" s="2920" t="str">
        <f t="shared" ref="K85:P85" si="358">IF(OR(K61=0,K67=0),"",K61/K67)</f>
        <v/>
      </c>
      <c r="L85" s="2921" t="str">
        <f t="shared" si="358"/>
        <v/>
      </c>
      <c r="M85" s="2921" t="str">
        <f t="shared" si="358"/>
        <v/>
      </c>
      <c r="N85" s="2921" t="str">
        <f t="shared" si="358"/>
        <v/>
      </c>
      <c r="O85" s="2921" t="str">
        <f t="shared" si="358"/>
        <v/>
      </c>
      <c r="P85" s="2922" t="str">
        <f t="shared" si="358"/>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6814</v>
      </c>
      <c r="I87" s="2916"/>
      <c r="J87" s="1"/>
      <c r="K87" s="2917" t="str">
        <f t="shared" ref="K87:P87" si="359">IF(OR(K86="",K61=0),"", K61-K86)</f>
        <v/>
      </c>
      <c r="L87" s="2917" t="str">
        <f t="shared" si="359"/>
        <v/>
      </c>
      <c r="M87" s="2917" t="str">
        <f t="shared" si="359"/>
        <v/>
      </c>
      <c r="N87" s="2917" t="str">
        <f t="shared" si="359"/>
        <v/>
      </c>
      <c r="O87" s="2917" t="str">
        <f t="shared" si="359"/>
        <v/>
      </c>
      <c r="P87" s="2917" t="str">
        <f t="shared" si="359"/>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3835</v>
      </c>
      <c r="I88" s="52"/>
      <c r="J88" s="1"/>
      <c r="K88" s="2920" t="str">
        <f t="shared" ref="K88:P88" si="360">IF(OR(K62=0,K67=0),"",K62/K67)</f>
        <v/>
      </c>
      <c r="L88" s="2921" t="str">
        <f t="shared" si="360"/>
        <v/>
      </c>
      <c r="M88" s="2921" t="str">
        <f t="shared" si="360"/>
        <v/>
      </c>
      <c r="N88" s="2921" t="str">
        <f t="shared" si="360"/>
        <v/>
      </c>
      <c r="O88" s="2921" t="str">
        <f t="shared" si="360"/>
        <v/>
      </c>
      <c r="P88" s="2922" t="str">
        <f t="shared" si="360"/>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6813</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6814</v>
      </c>
      <c r="I90" s="2916"/>
      <c r="J90" s="1"/>
      <c r="K90" s="2925" t="str">
        <f t="shared" ref="K90:P90" si="361">IF(OR(K89="",K62=0),"", K62-K89)</f>
        <v/>
      </c>
      <c r="L90" s="2925" t="str">
        <f t="shared" si="361"/>
        <v/>
      </c>
      <c r="M90" s="2925" t="str">
        <f t="shared" si="361"/>
        <v/>
      </c>
      <c r="N90" s="2925" t="str">
        <f t="shared" si="361"/>
        <v/>
      </c>
      <c r="O90" s="2925" t="str">
        <f t="shared" si="361"/>
        <v/>
      </c>
      <c r="P90" s="2925" t="str">
        <f t="shared" si="361"/>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3831</v>
      </c>
      <c r="I93" s="36"/>
      <c r="J93" s="82"/>
      <c r="K93" s="1209">
        <f>CP49</f>
        <v>0</v>
      </c>
      <c r="L93" s="1210">
        <f>CQ49</f>
        <v>0</v>
      </c>
      <c r="M93" s="1210">
        <f>CR49</f>
        <v>0</v>
      </c>
      <c r="N93" s="1210">
        <f>CS49</f>
        <v>0</v>
      </c>
      <c r="O93" s="1211">
        <f>CT49</f>
        <v>0</v>
      </c>
      <c r="P93" s="835">
        <f t="shared" ref="P93:P100" si="362">SUM(K93:O93)</f>
        <v>0</v>
      </c>
      <c r="S93" s="3853"/>
      <c r="T93" s="3854"/>
      <c r="U93" s="3854"/>
      <c r="V93" s="3854"/>
      <c r="W93" s="3855"/>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3832</v>
      </c>
      <c r="I94" s="36"/>
      <c r="J94" s="82"/>
      <c r="K94" s="1212">
        <f>CK49</f>
        <v>0</v>
      </c>
      <c r="L94" s="1213">
        <f>CL49</f>
        <v>0</v>
      </c>
      <c r="M94" s="1213">
        <f>CM49</f>
        <v>0</v>
      </c>
      <c r="N94" s="1213">
        <f>CN49</f>
        <v>0</v>
      </c>
      <c r="O94" s="1214">
        <f>CO49</f>
        <v>0</v>
      </c>
      <c r="P94" s="1178">
        <f t="shared" si="362"/>
        <v>0</v>
      </c>
      <c r="S94" s="3832"/>
      <c r="T94" s="3833"/>
      <c r="U94" s="3833"/>
      <c r="V94" s="3833"/>
      <c r="W94" s="383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2"/>
        <v>0</v>
      </c>
      <c r="S95" s="3832"/>
      <c r="T95" s="3833"/>
      <c r="U95" s="3833"/>
      <c r="V95" s="3833"/>
      <c r="W95" s="383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2"/>
        <v>0</v>
      </c>
      <c r="S96" s="3832"/>
      <c r="T96" s="3833"/>
      <c r="U96" s="3833"/>
      <c r="V96" s="3833"/>
      <c r="W96" s="383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3833</v>
      </c>
      <c r="I97" s="52"/>
      <c r="J97" s="982"/>
      <c r="K97" s="1212">
        <f>BV49</f>
        <v>0</v>
      </c>
      <c r="L97" s="1213">
        <f>BW49</f>
        <v>0</v>
      </c>
      <c r="M97" s="1213">
        <f>BX49</f>
        <v>0</v>
      </c>
      <c r="N97" s="1213">
        <f>BY49</f>
        <v>0</v>
      </c>
      <c r="O97" s="1214">
        <f>BZ49</f>
        <v>0</v>
      </c>
      <c r="P97" s="1178">
        <f t="shared" si="362"/>
        <v>0</v>
      </c>
      <c r="S97" s="3832"/>
      <c r="T97" s="3833"/>
      <c r="U97" s="3833"/>
      <c r="V97" s="3833"/>
      <c r="W97" s="383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3834</v>
      </c>
      <c r="I98" s="36"/>
      <c r="J98" s="82"/>
      <c r="K98" s="1212">
        <f>BQ49</f>
        <v>0</v>
      </c>
      <c r="L98" s="1213">
        <f>BR49</f>
        <v>0</v>
      </c>
      <c r="M98" s="1213">
        <f>BS49</f>
        <v>0</v>
      </c>
      <c r="N98" s="1213">
        <f>BT49</f>
        <v>0</v>
      </c>
      <c r="O98" s="1214">
        <f>BU49</f>
        <v>0</v>
      </c>
      <c r="P98" s="1178">
        <f t="shared" si="362"/>
        <v>0</v>
      </c>
      <c r="S98" s="3832"/>
      <c r="T98" s="3833"/>
      <c r="U98" s="3833"/>
      <c r="V98" s="3833"/>
      <c r="W98" s="383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3835</v>
      </c>
      <c r="I99" s="36"/>
      <c r="J99" s="82"/>
      <c r="K99" s="1215">
        <f>BL49</f>
        <v>0</v>
      </c>
      <c r="L99" s="1216">
        <f>BM49</f>
        <v>0</v>
      </c>
      <c r="M99" s="1216">
        <f>BN49</f>
        <v>0</v>
      </c>
      <c r="N99" s="1216">
        <f>BO49</f>
        <v>0</v>
      </c>
      <c r="O99" s="1217">
        <f>BP49</f>
        <v>0</v>
      </c>
      <c r="P99" s="836">
        <f t="shared" si="362"/>
        <v>0</v>
      </c>
      <c r="S99" s="3832"/>
      <c r="T99" s="3833"/>
      <c r="U99" s="3833"/>
      <c r="V99" s="3833"/>
      <c r="W99" s="383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2"/>
        <v>0</v>
      </c>
      <c r="S100" s="3838"/>
      <c r="T100" s="3839"/>
      <c r="U100" s="3839"/>
      <c r="V100" s="3839"/>
      <c r="W100" s="3840"/>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41" t="str">
        <f>$L$53</f>
        <v>Income Averaging</v>
      </c>
      <c r="M102" s="3842"/>
      <c r="N102" s="3842"/>
      <c r="O102" s="3843"/>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3831</v>
      </c>
      <c r="I104" s="36"/>
      <c r="J104" s="82"/>
      <c r="K104" s="1209">
        <f>DY49</f>
        <v>0</v>
      </c>
      <c r="L104" s="1210">
        <f>DZ49</f>
        <v>0</v>
      </c>
      <c r="M104" s="1210">
        <f>EA49</f>
        <v>0</v>
      </c>
      <c r="N104" s="1210">
        <f>EB49</f>
        <v>0</v>
      </c>
      <c r="O104" s="1211">
        <f>EC49</f>
        <v>0</v>
      </c>
      <c r="P104" s="837">
        <f t="shared" ref="P104:P111" si="363">SUM(K104:O104)</f>
        <v>0</v>
      </c>
      <c r="S104" s="3853"/>
      <c r="T104" s="3854"/>
      <c r="U104" s="3854"/>
      <c r="V104" s="3854"/>
      <c r="W104" s="3855"/>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3832</v>
      </c>
      <c r="I105" s="36"/>
      <c r="J105" s="82"/>
      <c r="K105" s="1212">
        <f>DT49</f>
        <v>0</v>
      </c>
      <c r="L105" s="1213">
        <f>DU49</f>
        <v>0</v>
      </c>
      <c r="M105" s="1213">
        <f>DV49</f>
        <v>0</v>
      </c>
      <c r="N105" s="1213">
        <f>DW49</f>
        <v>0</v>
      </c>
      <c r="O105" s="1214">
        <f>DX49</f>
        <v>0</v>
      </c>
      <c r="P105" s="833">
        <f t="shared" si="363"/>
        <v>0</v>
      </c>
      <c r="S105" s="3832"/>
      <c r="T105" s="3833"/>
      <c r="U105" s="3833"/>
      <c r="V105" s="3833"/>
      <c r="W105" s="383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3"/>
        <v>0</v>
      </c>
      <c r="S106" s="3832"/>
      <c r="T106" s="3833"/>
      <c r="U106" s="3833"/>
      <c r="V106" s="3833"/>
      <c r="W106" s="383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3"/>
        <v>0</v>
      </c>
      <c r="S107" s="3832"/>
      <c r="T107" s="3833"/>
      <c r="U107" s="3833"/>
      <c r="V107" s="3833"/>
      <c r="W107" s="383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3833</v>
      </c>
      <c r="I108" s="52"/>
      <c r="J108" s="982"/>
      <c r="K108" s="1212">
        <f>DE49</f>
        <v>0</v>
      </c>
      <c r="L108" s="1213">
        <f>DF49</f>
        <v>0</v>
      </c>
      <c r="M108" s="1213">
        <f>DG49</f>
        <v>0</v>
      </c>
      <c r="N108" s="1213">
        <f>DH49</f>
        <v>0</v>
      </c>
      <c r="O108" s="1214">
        <f>DI49</f>
        <v>0</v>
      </c>
      <c r="P108" s="833">
        <f t="shared" si="363"/>
        <v>0</v>
      </c>
      <c r="S108" s="3832"/>
      <c r="T108" s="3833"/>
      <c r="U108" s="3833"/>
      <c r="V108" s="3833"/>
      <c r="W108" s="383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3834</v>
      </c>
      <c r="I109" s="36"/>
      <c r="J109" s="82"/>
      <c r="K109" s="1212">
        <f>CZ49</f>
        <v>0</v>
      </c>
      <c r="L109" s="1213">
        <f>DA49</f>
        <v>0</v>
      </c>
      <c r="M109" s="1213">
        <f>DB49</f>
        <v>0</v>
      </c>
      <c r="N109" s="1213">
        <f>DC49</f>
        <v>0</v>
      </c>
      <c r="O109" s="1214">
        <f>DD49</f>
        <v>0</v>
      </c>
      <c r="P109" s="833">
        <f t="shared" si="363"/>
        <v>0</v>
      </c>
      <c r="S109" s="3832"/>
      <c r="T109" s="3833"/>
      <c r="U109" s="3833"/>
      <c r="V109" s="3833"/>
      <c r="W109" s="383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3835</v>
      </c>
      <c r="I110" s="36"/>
      <c r="J110" s="82"/>
      <c r="K110" s="1215">
        <f>CU49</f>
        <v>0</v>
      </c>
      <c r="L110" s="1216">
        <f>CV49</f>
        <v>0</v>
      </c>
      <c r="M110" s="1216">
        <f>CW49</f>
        <v>0</v>
      </c>
      <c r="N110" s="1216">
        <f>CX49</f>
        <v>0</v>
      </c>
      <c r="O110" s="1217">
        <f>CY49</f>
        <v>0</v>
      </c>
      <c r="P110" s="834">
        <f t="shared" si="363"/>
        <v>0</v>
      </c>
      <c r="S110" s="3832"/>
      <c r="T110" s="3833"/>
      <c r="U110" s="3833"/>
      <c r="V110" s="3833"/>
      <c r="W110" s="383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3"/>
        <v>0</v>
      </c>
      <c r="S111" s="3838"/>
      <c r="T111" s="3839"/>
      <c r="U111" s="3839"/>
      <c r="V111" s="3839"/>
      <c r="W111" s="3840"/>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7" t="s">
        <v>35</v>
      </c>
      <c r="D113" s="3837"/>
      <c r="E113" s="102" t="s">
        <v>2192</v>
      </c>
      <c r="F113" s="1"/>
      <c r="G113" s="82"/>
      <c r="H113" s="109" t="s">
        <v>1377</v>
      </c>
      <c r="I113" s="36"/>
      <c r="J113" s="82"/>
      <c r="K113" s="1200">
        <f>GG49</f>
        <v>0</v>
      </c>
      <c r="L113" s="1201">
        <f>GH49</f>
        <v>8</v>
      </c>
      <c r="M113" s="1201">
        <f>GI49</f>
        <v>24</v>
      </c>
      <c r="N113" s="1201">
        <f>GJ49</f>
        <v>16</v>
      </c>
      <c r="O113" s="1202">
        <f>GK49</f>
        <v>0</v>
      </c>
      <c r="P113" s="837">
        <f t="shared" ref="P113:P123" si="364">SUM(K113:O113)</f>
        <v>48</v>
      </c>
      <c r="S113" s="3853"/>
      <c r="T113" s="3854"/>
      <c r="U113" s="3854"/>
      <c r="V113" s="3854"/>
      <c r="W113" s="3855"/>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7"/>
      <c r="D114" s="3837"/>
      <c r="E114" s="109"/>
      <c r="F114" s="1"/>
      <c r="G114" s="82"/>
      <c r="H114" s="109" t="s">
        <v>292</v>
      </c>
      <c r="I114" s="36"/>
      <c r="J114" s="82"/>
      <c r="K114" s="1206">
        <f>GL49</f>
        <v>0</v>
      </c>
      <c r="L114" s="1207">
        <f>GM49</f>
        <v>0</v>
      </c>
      <c r="M114" s="1207">
        <f>GN49</f>
        <v>0</v>
      </c>
      <c r="N114" s="1207">
        <f>GO49</f>
        <v>0</v>
      </c>
      <c r="O114" s="1208">
        <f>GP49</f>
        <v>0</v>
      </c>
      <c r="P114" s="834">
        <f t="shared" si="364"/>
        <v>0</v>
      </c>
      <c r="S114" s="3832"/>
      <c r="T114" s="3833"/>
      <c r="U114" s="3833"/>
      <c r="V114" s="3833"/>
      <c r="W114" s="383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7"/>
      <c r="D115" s="3837"/>
      <c r="E115" s="109"/>
      <c r="F115" s="1"/>
      <c r="G115" s="82"/>
      <c r="H115" s="163" t="s">
        <v>29</v>
      </c>
      <c r="I115" s="86"/>
      <c r="J115" s="82"/>
      <c r="K115" s="1181">
        <f>SUM(K113:K114)+GQ49</f>
        <v>0</v>
      </c>
      <c r="L115" s="1181">
        <f>SUM(L113:L114)+GR49</f>
        <v>8</v>
      </c>
      <c r="M115" s="1181">
        <f>SUM(M113:M114)+GS49</f>
        <v>24</v>
      </c>
      <c r="N115" s="1181">
        <f>SUM(N113:N114)+GT49</f>
        <v>16</v>
      </c>
      <c r="O115" s="1181">
        <f>SUM(O113:O114)+GU49</f>
        <v>0</v>
      </c>
      <c r="P115" s="1181">
        <f t="shared" si="364"/>
        <v>48</v>
      </c>
      <c r="S115" s="3832"/>
      <c r="T115" s="3833"/>
      <c r="U115" s="3833"/>
      <c r="V115" s="3833"/>
      <c r="W115" s="383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7"/>
      <c r="D116" s="3837"/>
      <c r="E116" s="102" t="s">
        <v>2043</v>
      </c>
      <c r="F116" s="1"/>
      <c r="G116" s="82"/>
      <c r="H116" s="109" t="s">
        <v>1377</v>
      </c>
      <c r="I116" s="36"/>
      <c r="J116" s="82"/>
      <c r="K116" s="1200">
        <f>GV49</f>
        <v>0</v>
      </c>
      <c r="L116" s="1201">
        <f>GW49</f>
        <v>0</v>
      </c>
      <c r="M116" s="1201">
        <f>GX49</f>
        <v>0</v>
      </c>
      <c r="N116" s="1201">
        <f>GY49</f>
        <v>0</v>
      </c>
      <c r="O116" s="1202">
        <f>GZ49</f>
        <v>0</v>
      </c>
      <c r="P116" s="837">
        <f t="shared" si="364"/>
        <v>0</v>
      </c>
      <c r="S116" s="3832"/>
      <c r="T116" s="3833"/>
      <c r="U116" s="3833"/>
      <c r="V116" s="3833"/>
      <c r="W116" s="383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7"/>
      <c r="D117" s="3837"/>
      <c r="E117" s="109"/>
      <c r="F117" s="1"/>
      <c r="G117" s="82"/>
      <c r="H117" s="109" t="s">
        <v>292</v>
      </c>
      <c r="I117" s="36"/>
      <c r="J117" s="82"/>
      <c r="K117" s="1206">
        <f>HA49</f>
        <v>0</v>
      </c>
      <c r="L117" s="1207">
        <f>HB49</f>
        <v>0</v>
      </c>
      <c r="M117" s="1207">
        <f>HC49</f>
        <v>0</v>
      </c>
      <c r="N117" s="1207">
        <f>HD49</f>
        <v>0</v>
      </c>
      <c r="O117" s="1208">
        <f>HE49</f>
        <v>0</v>
      </c>
      <c r="P117" s="834">
        <f t="shared" si="364"/>
        <v>0</v>
      </c>
      <c r="S117" s="3832"/>
      <c r="T117" s="3833"/>
      <c r="U117" s="3833"/>
      <c r="V117" s="3833"/>
      <c r="W117" s="383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7"/>
      <c r="D118" s="3837"/>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4"/>
        <v>0</v>
      </c>
      <c r="S118" s="3832"/>
      <c r="T118" s="3833"/>
      <c r="U118" s="3833"/>
      <c r="V118" s="3833"/>
      <c r="W118" s="383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9" t="s">
        <v>1368</v>
      </c>
      <c r="F119" s="3899"/>
      <c r="G119" s="82"/>
      <c r="H119" s="109" t="s">
        <v>1377</v>
      </c>
      <c r="I119" s="36"/>
      <c r="J119" s="82"/>
      <c r="K119" s="1200">
        <f>HK49</f>
        <v>0</v>
      </c>
      <c r="L119" s="1201">
        <f>HL49</f>
        <v>0</v>
      </c>
      <c r="M119" s="1201">
        <f>HM49</f>
        <v>0</v>
      </c>
      <c r="N119" s="1201">
        <f>HN49</f>
        <v>0</v>
      </c>
      <c r="O119" s="1202">
        <f>HO49</f>
        <v>0</v>
      </c>
      <c r="P119" s="837">
        <f t="shared" si="364"/>
        <v>0</v>
      </c>
      <c r="S119" s="3832"/>
      <c r="T119" s="3833"/>
      <c r="U119" s="3833"/>
      <c r="V119" s="3833"/>
      <c r="W119" s="383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9"/>
      <c r="F120" s="3899"/>
      <c r="G120" s="82"/>
      <c r="H120" s="109" t="s">
        <v>292</v>
      </c>
      <c r="I120" s="36"/>
      <c r="J120" s="82"/>
      <c r="K120" s="1206">
        <f>HP49</f>
        <v>0</v>
      </c>
      <c r="L120" s="1207">
        <f>HQ49</f>
        <v>0</v>
      </c>
      <c r="M120" s="1207">
        <f>HR49</f>
        <v>0</v>
      </c>
      <c r="N120" s="1207">
        <f>HS49</f>
        <v>0</v>
      </c>
      <c r="O120" s="1208">
        <f>HT49</f>
        <v>0</v>
      </c>
      <c r="P120" s="834">
        <f t="shared" si="364"/>
        <v>0</v>
      </c>
      <c r="S120" s="3832"/>
      <c r="T120" s="3833"/>
      <c r="U120" s="3833"/>
      <c r="V120" s="3833"/>
      <c r="W120" s="383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4"/>
        <v>0</v>
      </c>
      <c r="S121" s="3832"/>
      <c r="T121" s="3833"/>
      <c r="U121" s="3833"/>
      <c r="V121" s="3833"/>
      <c r="W121" s="383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4"/>
        <v>0</v>
      </c>
      <c r="S122" s="3832"/>
      <c r="T122" s="3833"/>
      <c r="U122" s="3833"/>
      <c r="V122" s="3833"/>
      <c r="W122" s="383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6" t="str">
        <f>IF(AND('Part IV-A-Uses of Funds'!$T$185="Yes",'Part IX Scoring Criteria'!$O$330&gt;0,P123&lt;1),"SHOW HISTORIC UNITS HERE &gt;&gt;&gt;&gt;","")</f>
        <v/>
      </c>
      <c r="B123" s="3836"/>
      <c r="C123" s="3836"/>
      <c r="D123" s="3836"/>
      <c r="E123" s="462" t="s">
        <v>3140</v>
      </c>
      <c r="F123" s="1"/>
      <c r="G123" s="170"/>
      <c r="H123" s="110"/>
      <c r="I123" s="82"/>
      <c r="J123" s="82"/>
      <c r="K123" s="2927"/>
      <c r="L123" s="2927"/>
      <c r="M123" s="2927"/>
      <c r="N123" s="2927"/>
      <c r="O123" s="2927"/>
      <c r="P123" s="540">
        <f t="shared" si="364"/>
        <v>0</v>
      </c>
      <c r="S123" s="3832"/>
      <c r="T123" s="3833"/>
      <c r="U123" s="3833"/>
      <c r="V123" s="3833"/>
      <c r="W123" s="383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2"/>
      <c r="T124" s="3833"/>
      <c r="U124" s="3833"/>
      <c r="V124" s="3833"/>
      <c r="W124" s="383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8"/>
      <c r="T125" s="3839"/>
      <c r="U125" s="3839"/>
      <c r="V125" s="3839"/>
      <c r="W125" s="3840"/>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2" t="s">
        <v>6818</v>
      </c>
      <c r="D127" s="3902"/>
      <c r="E127" s="978" t="s">
        <v>36</v>
      </c>
      <c r="F127" s="866"/>
      <c r="G127" s="979"/>
      <c r="H127" s="1504"/>
      <c r="I127" s="980"/>
      <c r="J127" s="981"/>
      <c r="K127" s="1221">
        <f t="shared" ref="K127:P127" si="365">SUM(K128:K135)</f>
        <v>0</v>
      </c>
      <c r="L127" s="1222">
        <f t="shared" si="365"/>
        <v>8</v>
      </c>
      <c r="M127" s="1222">
        <f t="shared" si="365"/>
        <v>24</v>
      </c>
      <c r="N127" s="1222">
        <f t="shared" si="365"/>
        <v>16</v>
      </c>
      <c r="O127" s="1223">
        <f t="shared" si="365"/>
        <v>0</v>
      </c>
      <c r="P127" s="1184">
        <f t="shared" si="365"/>
        <v>48</v>
      </c>
      <c r="S127" s="3853"/>
      <c r="T127" s="3854"/>
      <c r="U127" s="3854"/>
      <c r="V127" s="3854"/>
      <c r="W127" s="3855"/>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3"/>
      <c r="D128" s="3903"/>
      <c r="E128" s="102"/>
      <c r="F128" s="5"/>
      <c r="G128" s="150"/>
      <c r="H128" s="1501" t="s">
        <v>6596</v>
      </c>
      <c r="I128" s="783"/>
      <c r="J128" s="982"/>
      <c r="K128" s="1203">
        <f>JS49</f>
        <v>0</v>
      </c>
      <c r="L128" s="1204">
        <f>JT49</f>
        <v>8</v>
      </c>
      <c r="M128" s="1204">
        <f>JU49</f>
        <v>24</v>
      </c>
      <c r="N128" s="1204">
        <f>JV49</f>
        <v>16</v>
      </c>
      <c r="O128" s="1205">
        <f>JW49</f>
        <v>0</v>
      </c>
      <c r="P128" s="833">
        <f t="shared" ref="P128:P143" si="366">SUM(K128:O128)</f>
        <v>48</v>
      </c>
      <c r="S128" s="3832"/>
      <c r="T128" s="3833"/>
      <c r="U128" s="3833"/>
      <c r="V128" s="3833"/>
      <c r="W128" s="383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3"/>
      <c r="D129" s="3903"/>
      <c r="E129" s="102"/>
      <c r="F129" s="5"/>
      <c r="G129" s="150"/>
      <c r="H129" s="1505" t="s">
        <v>3117</v>
      </c>
      <c r="I129" s="94"/>
      <c r="J129" s="982"/>
      <c r="K129" s="1760">
        <f>KC49</f>
        <v>0</v>
      </c>
      <c r="L129" s="1761">
        <f>KD49</f>
        <v>0</v>
      </c>
      <c r="M129" s="1761">
        <f>KE49</f>
        <v>0</v>
      </c>
      <c r="N129" s="1761">
        <f>KF49</f>
        <v>0</v>
      </c>
      <c r="O129" s="1762">
        <f>KG49</f>
        <v>0</v>
      </c>
      <c r="P129" s="1772">
        <f t="shared" si="366"/>
        <v>0</v>
      </c>
      <c r="S129" s="3832"/>
      <c r="T129" s="3833"/>
      <c r="U129" s="3833"/>
      <c r="V129" s="3833"/>
      <c r="W129" s="383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3"/>
      <c r="D130" s="3903"/>
      <c r="E130" s="102"/>
      <c r="F130" s="5"/>
      <c r="G130" s="150"/>
      <c r="H130" s="1501" t="s">
        <v>6805</v>
      </c>
      <c r="I130" s="783"/>
      <c r="J130" s="982"/>
      <c r="K130" s="1203">
        <f>JX49</f>
        <v>0</v>
      </c>
      <c r="L130" s="1204">
        <f>JY49</f>
        <v>0</v>
      </c>
      <c r="M130" s="1204">
        <f>JZ49</f>
        <v>0</v>
      </c>
      <c r="N130" s="1204">
        <f>KA49</f>
        <v>0</v>
      </c>
      <c r="O130" s="1205">
        <f>KB49</f>
        <v>0</v>
      </c>
      <c r="P130" s="833">
        <f t="shared" ref="P130:P135" si="367">SUM(K130:O130)</f>
        <v>0</v>
      </c>
      <c r="S130" s="3832"/>
      <c r="T130" s="3833"/>
      <c r="U130" s="3833"/>
      <c r="V130" s="3833"/>
      <c r="W130" s="383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3"/>
      <c r="D131" s="3903"/>
      <c r="E131" s="102"/>
      <c r="F131" s="5"/>
      <c r="G131" s="150"/>
      <c r="H131" s="1505" t="s">
        <v>3117</v>
      </c>
      <c r="I131" s="94"/>
      <c r="J131" s="982"/>
      <c r="K131" s="1760">
        <f>KH49</f>
        <v>0</v>
      </c>
      <c r="L131" s="1761">
        <f>KI49</f>
        <v>0</v>
      </c>
      <c r="M131" s="1761">
        <f>KJ49</f>
        <v>0</v>
      </c>
      <c r="N131" s="1761">
        <f>KK49</f>
        <v>0</v>
      </c>
      <c r="O131" s="1762">
        <f>KL49</f>
        <v>0</v>
      </c>
      <c r="P131" s="1772">
        <f t="shared" si="367"/>
        <v>0</v>
      </c>
      <c r="S131" s="3832"/>
      <c r="T131" s="3833"/>
      <c r="U131" s="3833"/>
      <c r="V131" s="3833"/>
      <c r="W131" s="383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3"/>
      <c r="D132" s="3903"/>
      <c r="E132" s="102"/>
      <c r="F132" s="1"/>
      <c r="G132" s="82"/>
      <c r="H132" s="1496" t="s">
        <v>6598</v>
      </c>
      <c r="I132" s="40"/>
      <c r="J132" s="82"/>
      <c r="K132" s="1227">
        <f>KM49</f>
        <v>0</v>
      </c>
      <c r="L132" s="1228">
        <f>KN49</f>
        <v>0</v>
      </c>
      <c r="M132" s="1228">
        <f>KO49</f>
        <v>0</v>
      </c>
      <c r="N132" s="1228">
        <f>KP49</f>
        <v>0</v>
      </c>
      <c r="O132" s="1229">
        <f>KQ49</f>
        <v>0</v>
      </c>
      <c r="P132" s="543">
        <f t="shared" si="367"/>
        <v>0</v>
      </c>
      <c r="S132" s="3832"/>
      <c r="T132" s="3833"/>
      <c r="U132" s="3833"/>
      <c r="V132" s="3833"/>
      <c r="W132" s="383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3"/>
      <c r="D133" s="3903"/>
      <c r="E133" s="102"/>
      <c r="F133" s="1"/>
      <c r="G133" s="82"/>
      <c r="H133" s="1506" t="s">
        <v>3117</v>
      </c>
      <c r="I133" s="780"/>
      <c r="J133" s="82"/>
      <c r="K133" s="1768">
        <f>KW49</f>
        <v>0</v>
      </c>
      <c r="L133" s="1769">
        <f>KX49</f>
        <v>0</v>
      </c>
      <c r="M133" s="1769">
        <f>KY49</f>
        <v>0</v>
      </c>
      <c r="N133" s="1769">
        <f>KZ49</f>
        <v>0</v>
      </c>
      <c r="O133" s="1770">
        <f>LA49</f>
        <v>0</v>
      </c>
      <c r="P133" s="1771">
        <f t="shared" si="367"/>
        <v>0</v>
      </c>
      <c r="S133" s="3832"/>
      <c r="T133" s="3833"/>
      <c r="U133" s="3833"/>
      <c r="V133" s="3833"/>
      <c r="W133" s="383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3"/>
      <c r="D134" s="3903"/>
      <c r="E134" s="102"/>
      <c r="F134" s="1"/>
      <c r="G134" s="82"/>
      <c r="H134" s="1496" t="s">
        <v>6812</v>
      </c>
      <c r="I134" s="40"/>
      <c r="J134" s="82"/>
      <c r="K134" s="1227">
        <f>KR49</f>
        <v>0</v>
      </c>
      <c r="L134" s="1228">
        <f>KS49</f>
        <v>0</v>
      </c>
      <c r="M134" s="1228">
        <f>KT49</f>
        <v>0</v>
      </c>
      <c r="N134" s="1228">
        <f>KU49</f>
        <v>0</v>
      </c>
      <c r="O134" s="1229">
        <f>KV49</f>
        <v>0</v>
      </c>
      <c r="P134" s="543">
        <f t="shared" si="367"/>
        <v>0</v>
      </c>
      <c r="S134" s="3832"/>
      <c r="T134" s="3833"/>
      <c r="U134" s="3833"/>
      <c r="V134" s="3833"/>
      <c r="W134" s="383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3"/>
      <c r="D135" s="3903"/>
      <c r="E135" s="102"/>
      <c r="F135" s="1"/>
      <c r="G135" s="82"/>
      <c r="H135" s="1506" t="s">
        <v>3117</v>
      </c>
      <c r="I135" s="780"/>
      <c r="J135" s="82"/>
      <c r="K135" s="1768">
        <f>LB49</f>
        <v>0</v>
      </c>
      <c r="L135" s="1769">
        <f>LC49</f>
        <v>0</v>
      </c>
      <c r="M135" s="1769">
        <f>LD49</f>
        <v>0</v>
      </c>
      <c r="N135" s="1769">
        <f>LE49</f>
        <v>0</v>
      </c>
      <c r="O135" s="1770">
        <f>LF49</f>
        <v>0</v>
      </c>
      <c r="P135" s="1771">
        <f t="shared" si="367"/>
        <v>0</v>
      </c>
      <c r="S135" s="3832"/>
      <c r="T135" s="3833"/>
      <c r="U135" s="3833"/>
      <c r="V135" s="3833"/>
      <c r="W135" s="383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3"/>
      <c r="D136" s="3903"/>
      <c r="E136" s="102" t="s">
        <v>6807</v>
      </c>
      <c r="F136" s="1"/>
      <c r="G136" s="82"/>
      <c r="H136" s="1496"/>
      <c r="I136" s="40"/>
      <c r="J136" s="82"/>
      <c r="K136" s="1200">
        <f>IE49</f>
        <v>0</v>
      </c>
      <c r="L136" s="1201">
        <f>IF49</f>
        <v>0</v>
      </c>
      <c r="M136" s="1201">
        <f>IG49</f>
        <v>0</v>
      </c>
      <c r="N136" s="1201">
        <f>IH49</f>
        <v>0</v>
      </c>
      <c r="O136" s="1202">
        <f>II49</f>
        <v>0</v>
      </c>
      <c r="P136" s="1756">
        <f t="shared" si="366"/>
        <v>0</v>
      </c>
      <c r="S136" s="3832"/>
      <c r="T136" s="3833"/>
      <c r="U136" s="3833"/>
      <c r="V136" s="3833"/>
      <c r="W136" s="383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3"/>
      <c r="D137" s="3903"/>
      <c r="E137" s="102"/>
      <c r="F137" s="1"/>
      <c r="G137" s="82"/>
      <c r="H137" s="1506" t="s">
        <v>3117</v>
      </c>
      <c r="I137" s="780"/>
      <c r="J137" s="82"/>
      <c r="K137" s="1760">
        <f>IJ49</f>
        <v>0</v>
      </c>
      <c r="L137" s="1761">
        <f>IK49</f>
        <v>0</v>
      </c>
      <c r="M137" s="1761">
        <f>IL49</f>
        <v>0</v>
      </c>
      <c r="N137" s="1761">
        <f>IM49</f>
        <v>0</v>
      </c>
      <c r="O137" s="1762">
        <f>IN49</f>
        <v>0</v>
      </c>
      <c r="P137" s="1763">
        <f t="shared" si="366"/>
        <v>0</v>
      </c>
      <c r="S137" s="3832"/>
      <c r="T137" s="3833"/>
      <c r="U137" s="3833"/>
      <c r="V137" s="3833"/>
      <c r="W137" s="383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3"/>
      <c r="D138" s="3903"/>
      <c r="E138" s="102" t="s">
        <v>6808</v>
      </c>
      <c r="F138" s="1"/>
      <c r="G138" s="82"/>
      <c r="H138" s="1496"/>
      <c r="I138" s="40"/>
      <c r="J138" s="82"/>
      <c r="K138" s="1227">
        <f>JI49</f>
        <v>0</v>
      </c>
      <c r="L138" s="1228">
        <f>JJ49</f>
        <v>0</v>
      </c>
      <c r="M138" s="1228">
        <f>JK49</f>
        <v>0</v>
      </c>
      <c r="N138" s="1228">
        <f>JL49</f>
        <v>0</v>
      </c>
      <c r="O138" s="1229">
        <f>JM49</f>
        <v>0</v>
      </c>
      <c r="P138" s="1757">
        <f t="shared" si="366"/>
        <v>0</v>
      </c>
      <c r="S138" s="3832"/>
      <c r="T138" s="3833"/>
      <c r="U138" s="3833"/>
      <c r="V138" s="3833"/>
      <c r="W138" s="383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3"/>
      <c r="D139" s="3903"/>
      <c r="E139" s="102"/>
      <c r="F139" s="1"/>
      <c r="G139" s="82"/>
      <c r="H139" s="1506" t="s">
        <v>3117</v>
      </c>
      <c r="I139" s="780"/>
      <c r="J139" s="82"/>
      <c r="K139" s="1760">
        <f>JN49</f>
        <v>0</v>
      </c>
      <c r="L139" s="1761">
        <f>JO49</f>
        <v>0</v>
      </c>
      <c r="M139" s="1761">
        <f>JP49</f>
        <v>0</v>
      </c>
      <c r="N139" s="1761">
        <f>JQ49</f>
        <v>0</v>
      </c>
      <c r="O139" s="1762">
        <f>JR49</f>
        <v>0</v>
      </c>
      <c r="P139" s="1763">
        <f t="shared" si="366"/>
        <v>0</v>
      </c>
      <c r="S139" s="3832"/>
      <c r="T139" s="3833"/>
      <c r="U139" s="3833"/>
      <c r="V139" s="3833"/>
      <c r="W139" s="383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3"/>
      <c r="D140" s="3903"/>
      <c r="E140" s="109" t="s">
        <v>6592</v>
      </c>
      <c r="F140" s="1"/>
      <c r="G140" s="82"/>
      <c r="H140" s="1496"/>
      <c r="I140" s="40"/>
      <c r="J140" s="82"/>
      <c r="K140" s="1227">
        <f>IY49</f>
        <v>0</v>
      </c>
      <c r="L140" s="1228">
        <f>IZ49</f>
        <v>0</v>
      </c>
      <c r="M140" s="1228">
        <f>JA49</f>
        <v>0</v>
      </c>
      <c r="N140" s="1228">
        <f>JB49</f>
        <v>0</v>
      </c>
      <c r="O140" s="1229">
        <f>JC49</f>
        <v>0</v>
      </c>
      <c r="P140" s="1757">
        <f t="shared" si="366"/>
        <v>0</v>
      </c>
      <c r="S140" s="3832"/>
      <c r="T140" s="3833"/>
      <c r="U140" s="3833"/>
      <c r="V140" s="3833"/>
      <c r="W140" s="383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3"/>
      <c r="D141" s="3903"/>
      <c r="E141" s="109"/>
      <c r="F141" s="1"/>
      <c r="G141" s="82"/>
      <c r="H141" s="1506" t="s">
        <v>3117</v>
      </c>
      <c r="I141" s="780"/>
      <c r="J141" s="82"/>
      <c r="K141" s="1768">
        <f>JD49</f>
        <v>0</v>
      </c>
      <c r="L141" s="1769">
        <f>JE49</f>
        <v>0</v>
      </c>
      <c r="M141" s="1769">
        <f>JF49</f>
        <v>0</v>
      </c>
      <c r="N141" s="1769">
        <f>JG49</f>
        <v>0</v>
      </c>
      <c r="O141" s="1770">
        <f>JH49</f>
        <v>0</v>
      </c>
      <c r="P141" s="1763">
        <f t="shared" si="366"/>
        <v>0</v>
      </c>
      <c r="S141" s="3832"/>
      <c r="T141" s="3833"/>
      <c r="U141" s="3833"/>
      <c r="V141" s="3833"/>
      <c r="W141" s="383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3"/>
      <c r="D142" s="3903"/>
      <c r="E142" s="89" t="s">
        <v>537</v>
      </c>
      <c r="F142" s="1"/>
      <c r="G142" s="82"/>
      <c r="H142" s="1496"/>
      <c r="I142" s="40"/>
      <c r="J142" s="82"/>
      <c r="K142" s="1227">
        <f>IO49</f>
        <v>0</v>
      </c>
      <c r="L142" s="1228">
        <f>IP49</f>
        <v>0</v>
      </c>
      <c r="M142" s="1228">
        <f>IQ49</f>
        <v>0</v>
      </c>
      <c r="N142" s="1228">
        <f>IR49</f>
        <v>0</v>
      </c>
      <c r="O142" s="1229">
        <f>IS49</f>
        <v>0</v>
      </c>
      <c r="P142" s="1757">
        <f t="shared" si="366"/>
        <v>0</v>
      </c>
      <c r="S142" s="3832"/>
      <c r="T142" s="3833"/>
      <c r="U142" s="3833"/>
      <c r="V142" s="3833"/>
      <c r="W142" s="383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66"/>
        <v>0</v>
      </c>
      <c r="S143" s="3838"/>
      <c r="T143" s="3839"/>
      <c r="U143" s="3839"/>
      <c r="V143" s="3839"/>
      <c r="W143" s="384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1" t="str">
        <f>$L$53</f>
        <v>Income Averaging</v>
      </c>
      <c r="M145" s="3842"/>
      <c r="N145" s="3842"/>
      <c r="O145" s="3843"/>
      <c r="P145" s="82"/>
      <c r="S145" s="3856" t="str">
        <f>B145</f>
        <v>UNIT SUMMARY (Continued)</v>
      </c>
      <c r="T145" s="3856"/>
      <c r="U145" s="3856"/>
      <c r="V145" s="385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2" t="s">
        <v>6819</v>
      </c>
      <c r="D147" s="3902"/>
      <c r="E147" s="978" t="s">
        <v>3112</v>
      </c>
      <c r="F147" s="979"/>
      <c r="G147" s="980"/>
      <c r="H147" s="1507"/>
      <c r="I147" s="983"/>
      <c r="J147" s="981"/>
      <c r="K147" s="1230">
        <f t="shared" ref="K147:O148" si="368">K136+K140+K142</f>
        <v>0</v>
      </c>
      <c r="L147" s="1231">
        <f>L136+L140+L142</f>
        <v>0</v>
      </c>
      <c r="M147" s="1231">
        <f t="shared" si="368"/>
        <v>0</v>
      </c>
      <c r="N147" s="1231">
        <f t="shared" si="368"/>
        <v>0</v>
      </c>
      <c r="O147" s="1232">
        <f t="shared" si="368"/>
        <v>0</v>
      </c>
      <c r="P147" s="1756">
        <f t="shared" ref="P147:P154" si="369">SUM(K147:O147)</f>
        <v>0</v>
      </c>
      <c r="S147" s="3853"/>
      <c r="T147" s="3854"/>
      <c r="U147" s="3854"/>
      <c r="V147" s="3854"/>
      <c r="W147" s="3855"/>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3"/>
      <c r="D148" s="3903"/>
      <c r="E148" s="102"/>
      <c r="F148" s="465"/>
      <c r="G148" s="150"/>
      <c r="H148" s="1505" t="s">
        <v>3117</v>
      </c>
      <c r="I148" s="94"/>
      <c r="J148" s="982"/>
      <c r="K148" s="1760">
        <f t="shared" si="368"/>
        <v>0</v>
      </c>
      <c r="L148" s="1761">
        <f t="shared" si="368"/>
        <v>0</v>
      </c>
      <c r="M148" s="1761">
        <f t="shared" si="368"/>
        <v>0</v>
      </c>
      <c r="N148" s="1761">
        <f t="shared" si="368"/>
        <v>0</v>
      </c>
      <c r="O148" s="1762">
        <f t="shared" si="368"/>
        <v>0</v>
      </c>
      <c r="P148" s="1763">
        <f t="shared" si="369"/>
        <v>0</v>
      </c>
      <c r="S148" s="3832"/>
      <c r="T148" s="3833"/>
      <c r="U148" s="3833"/>
      <c r="V148" s="3833"/>
      <c r="W148" s="383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3"/>
      <c r="D149" s="3903"/>
      <c r="E149" s="102" t="s">
        <v>3113</v>
      </c>
      <c r="F149" s="465"/>
      <c r="G149" s="150"/>
      <c r="H149" s="926"/>
      <c r="I149" s="465"/>
      <c r="J149" s="982"/>
      <c r="K149" s="1236">
        <f t="shared" ref="K149:O150" si="370">K138</f>
        <v>0</v>
      </c>
      <c r="L149" s="1237">
        <f t="shared" si="370"/>
        <v>0</v>
      </c>
      <c r="M149" s="1237">
        <f t="shared" si="370"/>
        <v>0</v>
      </c>
      <c r="N149" s="1237">
        <f t="shared" si="370"/>
        <v>0</v>
      </c>
      <c r="O149" s="1238">
        <f t="shared" si="370"/>
        <v>0</v>
      </c>
      <c r="P149" s="1757">
        <f t="shared" si="369"/>
        <v>0</v>
      </c>
      <c r="S149" s="3832"/>
      <c r="T149" s="3833"/>
      <c r="U149" s="3833"/>
      <c r="V149" s="3833"/>
      <c r="W149" s="383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3"/>
      <c r="D150" s="3903"/>
      <c r="E150" s="102"/>
      <c r="F150" s="465"/>
      <c r="G150" s="150"/>
      <c r="H150" s="1505" t="s">
        <v>3117</v>
      </c>
      <c r="I150" s="94"/>
      <c r="J150" s="982"/>
      <c r="K150" s="1760">
        <f t="shared" si="370"/>
        <v>0</v>
      </c>
      <c r="L150" s="1761">
        <f t="shared" si="370"/>
        <v>0</v>
      </c>
      <c r="M150" s="1761">
        <f t="shared" si="370"/>
        <v>0</v>
      </c>
      <c r="N150" s="1761">
        <f t="shared" si="370"/>
        <v>0</v>
      </c>
      <c r="O150" s="1762">
        <f t="shared" si="370"/>
        <v>0</v>
      </c>
      <c r="P150" s="1763">
        <f t="shared" si="369"/>
        <v>0</v>
      </c>
      <c r="S150" s="3832"/>
      <c r="T150" s="3833"/>
      <c r="U150" s="3833"/>
      <c r="V150" s="3833"/>
      <c r="W150" s="383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3"/>
      <c r="D151" s="3903"/>
      <c r="E151" s="102" t="s">
        <v>3114</v>
      </c>
      <c r="F151" s="465"/>
      <c r="G151" s="150"/>
      <c r="H151" s="1501"/>
      <c r="I151" s="783"/>
      <c r="J151" s="982"/>
      <c r="K151" s="1236">
        <f t="shared" ref="K151:O154" si="371">K128+K132</f>
        <v>0</v>
      </c>
      <c r="L151" s="1237">
        <f t="shared" si="371"/>
        <v>8</v>
      </c>
      <c r="M151" s="1237">
        <f t="shared" si="371"/>
        <v>24</v>
      </c>
      <c r="N151" s="1237">
        <f t="shared" si="371"/>
        <v>16</v>
      </c>
      <c r="O151" s="1238">
        <f t="shared" si="371"/>
        <v>0</v>
      </c>
      <c r="P151" s="1757">
        <f t="shared" si="369"/>
        <v>48</v>
      </c>
      <c r="S151" s="3832"/>
      <c r="T151" s="3833"/>
      <c r="U151" s="3833"/>
      <c r="V151" s="3833"/>
      <c r="W151" s="383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3"/>
      <c r="D152" s="3903"/>
      <c r="E152" s="102"/>
      <c r="F152" s="465"/>
      <c r="G152" s="150"/>
      <c r="H152" s="1505" t="s">
        <v>3117</v>
      </c>
      <c r="I152" s="94"/>
      <c r="J152" s="982"/>
      <c r="K152" s="1760">
        <f t="shared" si="371"/>
        <v>0</v>
      </c>
      <c r="L152" s="1761">
        <f t="shared" si="371"/>
        <v>0</v>
      </c>
      <c r="M152" s="1761">
        <f t="shared" si="371"/>
        <v>0</v>
      </c>
      <c r="N152" s="1761">
        <f t="shared" si="371"/>
        <v>0</v>
      </c>
      <c r="O152" s="1762">
        <f t="shared" si="371"/>
        <v>0</v>
      </c>
      <c r="P152" s="1763">
        <f t="shared" si="369"/>
        <v>0</v>
      </c>
      <c r="S152" s="3832"/>
      <c r="T152" s="3833"/>
      <c r="U152" s="3833"/>
      <c r="V152" s="3833"/>
      <c r="W152" s="383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3"/>
      <c r="D153" s="3903"/>
      <c r="E153" s="102" t="s">
        <v>3115</v>
      </c>
      <c r="F153" s="465"/>
      <c r="G153" s="150"/>
      <c r="H153" s="1501"/>
      <c r="I153" s="783"/>
      <c r="J153" s="982"/>
      <c r="K153" s="1236">
        <f t="shared" si="371"/>
        <v>0</v>
      </c>
      <c r="L153" s="1237">
        <f t="shared" si="371"/>
        <v>0</v>
      </c>
      <c r="M153" s="1237">
        <f t="shared" si="371"/>
        <v>0</v>
      </c>
      <c r="N153" s="1237">
        <f t="shared" si="371"/>
        <v>0</v>
      </c>
      <c r="O153" s="1238">
        <f t="shared" si="371"/>
        <v>0</v>
      </c>
      <c r="P153" s="1757">
        <f t="shared" si="369"/>
        <v>0</v>
      </c>
      <c r="S153" s="3832"/>
      <c r="T153" s="3833"/>
      <c r="U153" s="3833"/>
      <c r="V153" s="3833"/>
      <c r="W153" s="383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 t="shared" si="371"/>
        <v>0</v>
      </c>
      <c r="L154" s="1765">
        <f t="shared" si="371"/>
        <v>0</v>
      </c>
      <c r="M154" s="1765">
        <f t="shared" si="371"/>
        <v>0</v>
      </c>
      <c r="N154" s="1765">
        <f t="shared" si="371"/>
        <v>0</v>
      </c>
      <c r="O154" s="1766">
        <f t="shared" si="371"/>
        <v>0</v>
      </c>
      <c r="P154" s="1767">
        <f t="shared" si="369"/>
        <v>0</v>
      </c>
      <c r="Q154" s="3927" t="s">
        <v>4075</v>
      </c>
      <c r="S154" s="3838"/>
      <c r="T154" s="3839"/>
      <c r="U154" s="3839"/>
      <c r="V154" s="3839"/>
      <c r="W154" s="384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927"/>
      <c r="S156" s="3587" t="str">
        <f>B156</f>
        <v>UNIT SQUARE FOOTAGE</v>
      </c>
      <c r="T156" s="3587"/>
      <c r="U156" s="358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3831</v>
      </c>
      <c r="I157" s="55"/>
      <c r="J157" s="82"/>
      <c r="K157" s="1209">
        <f>EI49</f>
        <v>0</v>
      </c>
      <c r="L157" s="1210">
        <f>EJ49</f>
        <v>0</v>
      </c>
      <c r="M157" s="1210">
        <f>EK49</f>
        <v>0</v>
      </c>
      <c r="N157" s="1210">
        <f>EL49</f>
        <v>0</v>
      </c>
      <c r="O157" s="1211">
        <f>EM49</f>
        <v>0</v>
      </c>
      <c r="P157" s="1175">
        <f t="shared" ref="P157:P163" si="372">SUM(K157:O157)</f>
        <v>0</v>
      </c>
      <c r="Q157" s="1361" t="str">
        <f t="shared" ref="Q157:Q163" si="373">IF(OR(P56=0,P56=""),"",P157/P56)</f>
        <v/>
      </c>
      <c r="S157" s="3853"/>
      <c r="T157" s="3854"/>
      <c r="U157" s="3854"/>
      <c r="V157" s="3854"/>
      <c r="W157" s="3855"/>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3832</v>
      </c>
      <c r="I158" s="40"/>
      <c r="J158" s="82"/>
      <c r="K158" s="1239">
        <f>EN49</f>
        <v>0</v>
      </c>
      <c r="L158" s="1240">
        <f>EO49</f>
        <v>811</v>
      </c>
      <c r="M158" s="1240">
        <f>EP49</f>
        <v>3153</v>
      </c>
      <c r="N158" s="1240">
        <f>EQ49</f>
        <v>2528</v>
      </c>
      <c r="O158" s="1241">
        <f>ER49</f>
        <v>0</v>
      </c>
      <c r="P158" s="1176">
        <f t="shared" si="372"/>
        <v>6492</v>
      </c>
      <c r="Q158" s="1361">
        <f t="shared" si="373"/>
        <v>1082</v>
      </c>
      <c r="S158" s="3832"/>
      <c r="T158" s="3833"/>
      <c r="U158" s="3833"/>
      <c r="V158" s="3833"/>
      <c r="W158" s="383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3244</v>
      </c>
      <c r="M159" s="1240">
        <f>EU49</f>
        <v>13663</v>
      </c>
      <c r="N159" s="1240">
        <f>EV49</f>
        <v>11376</v>
      </c>
      <c r="O159" s="1241">
        <f>EW49</f>
        <v>0</v>
      </c>
      <c r="P159" s="1176">
        <f t="shared" si="372"/>
        <v>28283</v>
      </c>
      <c r="Q159" s="1361">
        <f t="shared" si="373"/>
        <v>1087.8076923076924</v>
      </c>
      <c r="S159" s="3832"/>
      <c r="T159" s="3833"/>
      <c r="U159" s="3833"/>
      <c r="V159" s="3833"/>
      <c r="W159" s="383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2433</v>
      </c>
      <c r="M160" s="1308">
        <f>EZ49</f>
        <v>8408</v>
      </c>
      <c r="N160" s="1308">
        <f>FA49</f>
        <v>6320</v>
      </c>
      <c r="O160" s="1309">
        <f>FB49</f>
        <v>0</v>
      </c>
      <c r="P160" s="1310">
        <f t="shared" si="372"/>
        <v>17161</v>
      </c>
      <c r="Q160" s="1361">
        <f t="shared" si="373"/>
        <v>1072.5625</v>
      </c>
      <c r="S160" s="3832"/>
      <c r="T160" s="3833"/>
      <c r="U160" s="3833"/>
      <c r="V160" s="3833"/>
      <c r="W160" s="383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3833</v>
      </c>
      <c r="I161" s="783"/>
      <c r="J161" s="982"/>
      <c r="K161" s="1239">
        <f>FC49</f>
        <v>0</v>
      </c>
      <c r="L161" s="1240">
        <f>FD49</f>
        <v>0</v>
      </c>
      <c r="M161" s="1240">
        <f>FE49</f>
        <v>0</v>
      </c>
      <c r="N161" s="1240">
        <f>FF49</f>
        <v>0</v>
      </c>
      <c r="O161" s="1241">
        <f>FG49</f>
        <v>0</v>
      </c>
      <c r="P161" s="1176">
        <f t="shared" si="372"/>
        <v>0</v>
      </c>
      <c r="Q161" s="1361" t="str">
        <f t="shared" si="373"/>
        <v/>
      </c>
      <c r="S161" s="3832"/>
      <c r="T161" s="3833"/>
      <c r="U161" s="3833"/>
      <c r="V161" s="3833"/>
      <c r="W161" s="383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3834</v>
      </c>
      <c r="I162" s="40"/>
      <c r="J162" s="82"/>
      <c r="K162" s="1239">
        <f>FH49</f>
        <v>0</v>
      </c>
      <c r="L162" s="1240">
        <f>FI49</f>
        <v>0</v>
      </c>
      <c r="M162" s="1240">
        <f>FJ49</f>
        <v>0</v>
      </c>
      <c r="N162" s="1240">
        <f>FK49</f>
        <v>0</v>
      </c>
      <c r="O162" s="1241">
        <f>FL49</f>
        <v>0</v>
      </c>
      <c r="P162" s="1176">
        <f t="shared" si="372"/>
        <v>0</v>
      </c>
      <c r="Q162" s="1361" t="str">
        <f t="shared" si="373"/>
        <v/>
      </c>
      <c r="S162" s="3832"/>
      <c r="T162" s="3833"/>
      <c r="U162" s="3833"/>
      <c r="V162" s="3833"/>
      <c r="W162" s="383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5">
        <f>FM49</f>
        <v>0</v>
      </c>
      <c r="L163" s="1216">
        <f>FN49</f>
        <v>0</v>
      </c>
      <c r="M163" s="1216">
        <f>FO49</f>
        <v>0</v>
      </c>
      <c r="N163" s="1216">
        <f>FP49</f>
        <v>0</v>
      </c>
      <c r="O163" s="1217">
        <f>FQ49</f>
        <v>0</v>
      </c>
      <c r="P163" s="1177">
        <f t="shared" si="372"/>
        <v>0</v>
      </c>
      <c r="Q163" s="1361" t="str">
        <f t="shared" si="373"/>
        <v/>
      </c>
      <c r="S163" s="3832"/>
      <c r="T163" s="3833"/>
      <c r="U163" s="3833"/>
      <c r="V163" s="3833"/>
      <c r="W163" s="383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3916</v>
      </c>
      <c r="I164" s="780"/>
      <c r="J164" s="1186"/>
      <c r="K164" s="1759">
        <f>SUM(K157:K163)</f>
        <v>0</v>
      </c>
      <c r="L164" s="1759">
        <f>SUM(L157:L163)</f>
        <v>6488</v>
      </c>
      <c r="M164" s="1759">
        <f>SUM(M157:M163)</f>
        <v>25224</v>
      </c>
      <c r="N164" s="1759">
        <f>SUM(N157:N163)</f>
        <v>20224</v>
      </c>
      <c r="O164" s="1759">
        <f>SUM(O157:O163)</f>
        <v>0</v>
      </c>
      <c r="P164" s="1759">
        <f>SUM(K164:O164)</f>
        <v>51936</v>
      </c>
      <c r="S164" s="3832"/>
      <c r="T164" s="3833"/>
      <c r="U164" s="3833"/>
      <c r="V164" s="3833"/>
      <c r="W164" s="383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2"/>
      <c r="T165" s="3833"/>
      <c r="U165" s="3833"/>
      <c r="V165" s="3833"/>
      <c r="W165" s="383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6488</v>
      </c>
      <c r="M166" s="1758">
        <f>SUM(M164:M165)</f>
        <v>25224</v>
      </c>
      <c r="N166" s="1758">
        <f>SUM(N164:N165)</f>
        <v>20224</v>
      </c>
      <c r="O166" s="1758">
        <f>SUM(O164:O165)</f>
        <v>0</v>
      </c>
      <c r="P166" s="1758">
        <f>SUM(K166:O166)</f>
        <v>51936</v>
      </c>
      <c r="S166" s="3832"/>
      <c r="T166" s="3833"/>
      <c r="U166" s="3833"/>
      <c r="V166" s="3833"/>
      <c r="W166" s="383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2"/>
      <c r="T167" s="3833"/>
      <c r="U167" s="3833"/>
      <c r="V167" s="3833"/>
      <c r="W167" s="383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6488</v>
      </c>
      <c r="M168" s="1182">
        <f>SUM(M166:M167)</f>
        <v>25224</v>
      </c>
      <c r="N168" s="1182">
        <f>SUM(N166:N167)</f>
        <v>20224</v>
      </c>
      <c r="O168" s="1182">
        <f>SUM(O166:O167)</f>
        <v>0</v>
      </c>
      <c r="P168" s="1182">
        <f>SUM(K168:O168)</f>
        <v>51936</v>
      </c>
      <c r="S168" s="3838"/>
      <c r="T168" s="3839"/>
      <c r="U168" s="3839"/>
      <c r="V168" s="3839"/>
      <c r="W168" s="3840"/>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t="str">
        <f>IF(OR(K67="",K67=0),"",K168/K67)</f>
        <v/>
      </c>
      <c r="L171" s="1360">
        <f>IF(OR(L67="",L67=0),"",L168/L67)</f>
        <v>811</v>
      </c>
      <c r="M171" s="1360">
        <f>IF(OR(M67="",M67=0),"",M168/M67)</f>
        <v>1051</v>
      </c>
      <c r="N171" s="1360">
        <f>IF(OR(N67="",N67=0),"",N168/N67)</f>
        <v>1264</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4">
        <f>'Part VII-Pro Forma'!B10*M50</f>
        <v>6801.6</v>
      </c>
      <c r="I176" s="3905"/>
      <c r="J176" s="3906"/>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53"/>
      <c r="T180" s="3854"/>
      <c r="U180" s="3854"/>
      <c r="V180" s="3854"/>
      <c r="W180" s="3855"/>
    </row>
    <row r="181" spans="1:493" ht="15.6" customHeight="1">
      <c r="B181" s="109" t="s">
        <v>711</v>
      </c>
      <c r="C181" s="3883"/>
      <c r="D181" s="3884"/>
      <c r="E181" s="3884"/>
      <c r="F181" s="3885"/>
      <c r="H181" s="2929"/>
      <c r="I181" s="2929"/>
      <c r="J181" s="2929"/>
      <c r="K181" s="2929"/>
      <c r="L181" s="2930"/>
      <c r="M181" s="2929"/>
      <c r="N181" s="2929"/>
      <c r="O181" s="2929"/>
      <c r="P181" s="2929"/>
      <c r="Q181" s="2929"/>
      <c r="R181" s="768"/>
      <c r="S181" s="3832"/>
      <c r="T181" s="3833"/>
      <c r="U181" s="3833"/>
      <c r="V181" s="3833"/>
      <c r="W181" s="3834"/>
    </row>
    <row r="182" spans="1:493" ht="15.6" customHeight="1">
      <c r="B182" s="109"/>
      <c r="C182" s="109" t="s">
        <v>894</v>
      </c>
      <c r="D182" s="109"/>
      <c r="E182" s="109"/>
      <c r="F182" s="109"/>
      <c r="H182" s="801">
        <f>SUM(H180:H181)</f>
        <v>0</v>
      </c>
      <c r="I182" s="801">
        <f>SUM(I180:I181)</f>
        <v>0</v>
      </c>
      <c r="J182" s="801">
        <f t="shared" ref="J182:Q182" si="374">SUM(J180:J181)</f>
        <v>0</v>
      </c>
      <c r="K182" s="801">
        <f t="shared" si="374"/>
        <v>0</v>
      </c>
      <c r="L182" s="801">
        <f t="shared" si="374"/>
        <v>0</v>
      </c>
      <c r="M182" s="801">
        <f t="shared" si="374"/>
        <v>0</v>
      </c>
      <c r="N182" s="801">
        <f t="shared" si="374"/>
        <v>0</v>
      </c>
      <c r="O182" s="801">
        <f t="shared" si="374"/>
        <v>0</v>
      </c>
      <c r="P182" s="801">
        <f t="shared" si="374"/>
        <v>0</v>
      </c>
      <c r="Q182" s="801">
        <f t="shared" si="374"/>
        <v>0</v>
      </c>
      <c r="R182" s="117"/>
      <c r="S182" s="3838"/>
      <c r="T182" s="3839"/>
      <c r="U182" s="3839"/>
      <c r="V182" s="3839"/>
      <c r="W182" s="3840"/>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53"/>
      <c r="T184" s="3854"/>
      <c r="U184" s="3854"/>
      <c r="V184" s="3854"/>
      <c r="W184" s="3855"/>
    </row>
    <row r="185" spans="1:493" ht="15.6" customHeight="1">
      <c r="B185" s="109" t="s">
        <v>711</v>
      </c>
      <c r="C185" s="3883"/>
      <c r="D185" s="3884"/>
      <c r="E185" s="3884"/>
      <c r="F185" s="3885"/>
      <c r="H185" s="2929"/>
      <c r="I185" s="2929"/>
      <c r="J185" s="2929"/>
      <c r="K185" s="2929"/>
      <c r="L185" s="2930"/>
      <c r="M185" s="2929"/>
      <c r="N185" s="2929"/>
      <c r="O185" s="2929"/>
      <c r="P185" s="2929"/>
      <c r="Q185" s="2929"/>
      <c r="R185" s="768"/>
      <c r="S185" s="3832"/>
      <c r="T185" s="3833"/>
      <c r="U185" s="3833"/>
      <c r="V185" s="3833"/>
      <c r="W185" s="3834"/>
    </row>
    <row r="186" spans="1:493" ht="15.6" customHeight="1">
      <c r="B186" s="109"/>
      <c r="C186" s="109" t="s">
        <v>184</v>
      </c>
      <c r="D186" s="109"/>
      <c r="E186" s="109"/>
      <c r="F186" s="109"/>
      <c r="H186" s="801">
        <f>SUM(H184:H185)</f>
        <v>0</v>
      </c>
      <c r="I186" s="801">
        <f>SUM(I184:I185)</f>
        <v>0</v>
      </c>
      <c r="J186" s="801">
        <f t="shared" ref="J186:Q186" si="375">SUM(J184:J185)</f>
        <v>0</v>
      </c>
      <c r="K186" s="801">
        <f t="shared" si="375"/>
        <v>0</v>
      </c>
      <c r="L186" s="801">
        <f t="shared" si="375"/>
        <v>0</v>
      </c>
      <c r="M186" s="801">
        <f t="shared" si="375"/>
        <v>0</v>
      </c>
      <c r="N186" s="801">
        <f t="shared" si="375"/>
        <v>0</v>
      </c>
      <c r="O186" s="801">
        <f t="shared" si="375"/>
        <v>0</v>
      </c>
      <c r="P186" s="801">
        <f t="shared" si="375"/>
        <v>0</v>
      </c>
      <c r="Q186" s="801">
        <f t="shared" si="375"/>
        <v>0</v>
      </c>
      <c r="R186" s="117"/>
      <c r="S186" s="3838"/>
      <c r="T186" s="3839"/>
      <c r="U186" s="3839"/>
      <c r="V186" s="3839"/>
      <c r="W186" s="3840"/>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53"/>
      <c r="T189" s="3854"/>
      <c r="U189" s="3854"/>
      <c r="V189" s="3854"/>
      <c r="W189" s="3855"/>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3"/>
      <c r="D190" s="3884"/>
      <c r="E190" s="3884"/>
      <c r="F190" s="3885"/>
      <c r="H190" s="2929"/>
      <c r="I190" s="2929"/>
      <c r="J190" s="2929"/>
      <c r="K190" s="2929"/>
      <c r="L190" s="2930"/>
      <c r="M190" s="2929"/>
      <c r="N190" s="2929"/>
      <c r="O190" s="2929"/>
      <c r="P190" s="2929"/>
      <c r="Q190" s="2929"/>
      <c r="R190" s="768"/>
      <c r="S190" s="3832"/>
      <c r="T190" s="3833"/>
      <c r="U190" s="3833"/>
      <c r="V190" s="3833"/>
      <c r="W190" s="383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76">SUM(J189:J190)</f>
        <v>0</v>
      </c>
      <c r="K191" s="801">
        <f t="shared" si="376"/>
        <v>0</v>
      </c>
      <c r="L191" s="801">
        <f t="shared" si="376"/>
        <v>0</v>
      </c>
      <c r="M191" s="801">
        <f t="shared" si="376"/>
        <v>0</v>
      </c>
      <c r="N191" s="801">
        <f t="shared" si="376"/>
        <v>0</v>
      </c>
      <c r="O191" s="801">
        <f t="shared" si="376"/>
        <v>0</v>
      </c>
      <c r="P191" s="801">
        <f t="shared" si="376"/>
        <v>0</v>
      </c>
      <c r="Q191" s="801">
        <f t="shared" si="376"/>
        <v>0</v>
      </c>
      <c r="R191" s="117"/>
      <c r="S191" s="3838"/>
      <c r="T191" s="3839"/>
      <c r="U191" s="3839"/>
      <c r="V191" s="3839"/>
      <c r="W191" s="384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53"/>
      <c r="T193" s="3854"/>
      <c r="U193" s="3854"/>
      <c r="V193" s="3854"/>
      <c r="W193" s="3855"/>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3"/>
      <c r="D194" s="3884"/>
      <c r="E194" s="3884"/>
      <c r="F194" s="3885"/>
      <c r="H194" s="2929"/>
      <c r="I194" s="2929"/>
      <c r="J194" s="2929"/>
      <c r="K194" s="2929"/>
      <c r="L194" s="2930"/>
      <c r="M194" s="2929"/>
      <c r="N194" s="2929"/>
      <c r="O194" s="2929"/>
      <c r="P194" s="2929"/>
      <c r="Q194" s="2929"/>
      <c r="R194" s="768"/>
      <c r="S194" s="3832"/>
      <c r="T194" s="3833"/>
      <c r="U194" s="3833"/>
      <c r="V194" s="3833"/>
      <c r="W194" s="383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77">SUM(J193:J194)</f>
        <v>0</v>
      </c>
      <c r="K195" s="801">
        <f t="shared" si="377"/>
        <v>0</v>
      </c>
      <c r="L195" s="801">
        <f t="shared" si="377"/>
        <v>0</v>
      </c>
      <c r="M195" s="801">
        <f t="shared" si="377"/>
        <v>0</v>
      </c>
      <c r="N195" s="801">
        <f t="shared" si="377"/>
        <v>0</v>
      </c>
      <c r="O195" s="801">
        <f t="shared" si="377"/>
        <v>0</v>
      </c>
      <c r="P195" s="801">
        <f t="shared" si="377"/>
        <v>0</v>
      </c>
      <c r="Q195" s="801">
        <f t="shared" si="377"/>
        <v>0</v>
      </c>
      <c r="R195" s="117"/>
      <c r="S195" s="3838"/>
      <c r="T195" s="3839"/>
      <c r="U195" s="3839"/>
      <c r="V195" s="3839"/>
      <c r="W195" s="384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53"/>
      <c r="T198" s="3854"/>
      <c r="U198" s="3854"/>
      <c r="V198" s="3854"/>
      <c r="W198" s="3855"/>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3"/>
      <c r="D199" s="3884"/>
      <c r="E199" s="3884"/>
      <c r="F199" s="3885"/>
      <c r="H199" s="2929"/>
      <c r="I199" s="2929"/>
      <c r="J199" s="2929"/>
      <c r="K199" s="2929"/>
      <c r="L199" s="2930"/>
      <c r="M199" s="2929"/>
      <c r="N199" s="2929"/>
      <c r="O199" s="2929"/>
      <c r="P199" s="2929"/>
      <c r="Q199" s="2929"/>
      <c r="R199" s="768"/>
      <c r="S199" s="3832"/>
      <c r="T199" s="3833"/>
      <c r="U199" s="3833"/>
      <c r="V199" s="3833"/>
      <c r="W199" s="383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78">SUM(J198:J199)</f>
        <v>0</v>
      </c>
      <c r="K200" s="801">
        <f t="shared" si="378"/>
        <v>0</v>
      </c>
      <c r="L200" s="801">
        <f t="shared" si="378"/>
        <v>0</v>
      </c>
      <c r="M200" s="801">
        <f t="shared" si="378"/>
        <v>0</v>
      </c>
      <c r="N200" s="801">
        <f t="shared" si="378"/>
        <v>0</v>
      </c>
      <c r="O200" s="801">
        <f t="shared" si="378"/>
        <v>0</v>
      </c>
      <c r="P200" s="801">
        <f t="shared" si="378"/>
        <v>0</v>
      </c>
      <c r="Q200" s="801">
        <f t="shared" si="378"/>
        <v>0</v>
      </c>
      <c r="R200" s="117"/>
      <c r="S200" s="3838"/>
      <c r="T200" s="3839"/>
      <c r="U200" s="3839"/>
      <c r="V200" s="3839"/>
      <c r="W200" s="384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53"/>
      <c r="T202" s="3854"/>
      <c r="U202" s="3854"/>
      <c r="V202" s="3854"/>
      <c r="W202" s="3855"/>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3"/>
      <c r="D203" s="3884"/>
      <c r="E203" s="3884"/>
      <c r="F203" s="3885"/>
      <c r="H203" s="2929"/>
      <c r="I203" s="2929"/>
      <c r="J203" s="2929"/>
      <c r="K203" s="2929"/>
      <c r="L203" s="2930"/>
      <c r="M203" s="2929"/>
      <c r="N203" s="2929"/>
      <c r="O203" s="2929"/>
      <c r="P203" s="2929"/>
      <c r="Q203" s="2929"/>
      <c r="R203" s="768"/>
      <c r="S203" s="3832"/>
      <c r="T203" s="3833"/>
      <c r="U203" s="3833"/>
      <c r="V203" s="3833"/>
      <c r="W203" s="383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79">SUM(J202:J203)</f>
        <v>0</v>
      </c>
      <c r="K204" s="801">
        <f t="shared" si="379"/>
        <v>0</v>
      </c>
      <c r="L204" s="801">
        <f t="shared" si="379"/>
        <v>0</v>
      </c>
      <c r="M204" s="801">
        <f t="shared" si="379"/>
        <v>0</v>
      </c>
      <c r="N204" s="801">
        <f t="shared" si="379"/>
        <v>0</v>
      </c>
      <c r="O204" s="801">
        <f t="shared" si="379"/>
        <v>0</v>
      </c>
      <c r="P204" s="801">
        <f t="shared" si="379"/>
        <v>0</v>
      </c>
      <c r="Q204" s="801">
        <f t="shared" si="379"/>
        <v>0</v>
      </c>
      <c r="R204" s="117"/>
      <c r="S204" s="3838"/>
      <c r="T204" s="3839"/>
      <c r="U204" s="3839"/>
      <c r="V204" s="3839"/>
      <c r="W204" s="384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53"/>
      <c r="T207" s="3854"/>
      <c r="U207" s="3854"/>
      <c r="V207" s="3854"/>
      <c r="W207" s="3855"/>
    </row>
    <row r="208" spans="1:493" ht="15.6" customHeight="1">
      <c r="B208" s="109" t="s">
        <v>711</v>
      </c>
      <c r="C208" s="3883"/>
      <c r="D208" s="3884"/>
      <c r="E208" s="3884"/>
      <c r="F208" s="3885"/>
      <c r="H208" s="2929"/>
      <c r="I208" s="2929"/>
      <c r="J208" s="2929"/>
      <c r="K208" s="2929"/>
      <c r="L208" s="2930"/>
      <c r="M208" s="89"/>
      <c r="N208" s="89"/>
      <c r="O208" s="89"/>
      <c r="P208" s="89"/>
      <c r="Q208" s="89"/>
      <c r="R208" s="8"/>
      <c r="S208" s="3832"/>
      <c r="T208" s="3833"/>
      <c r="U208" s="3833"/>
      <c r="V208" s="3833"/>
      <c r="W208" s="383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8"/>
      <c r="T209" s="3839"/>
      <c r="U209" s="3839"/>
      <c r="V209" s="3839"/>
      <c r="W209" s="3840"/>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53"/>
      <c r="T211" s="3854"/>
      <c r="U211" s="3854"/>
      <c r="V211" s="3854"/>
      <c r="W211" s="3855"/>
    </row>
    <row r="212" spans="1:493" ht="15.6" customHeight="1">
      <c r="B212" s="109" t="s">
        <v>711</v>
      </c>
      <c r="C212" s="3883"/>
      <c r="D212" s="3884"/>
      <c r="E212" s="3884"/>
      <c r="F212" s="3885"/>
      <c r="H212" s="2929"/>
      <c r="I212" s="2929"/>
      <c r="J212" s="2929"/>
      <c r="K212" s="2929"/>
      <c r="L212" s="2930"/>
      <c r="M212" s="89"/>
      <c r="N212" s="89"/>
      <c r="O212" s="89"/>
      <c r="P212" s="89"/>
      <c r="Q212" s="89"/>
      <c r="R212" s="8"/>
      <c r="S212" s="3832"/>
      <c r="T212" s="3833"/>
      <c r="U212" s="3833"/>
      <c r="V212" s="3833"/>
      <c r="W212" s="383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8"/>
      <c r="T213" s="3839"/>
      <c r="U213" s="3839"/>
      <c r="V213" s="3839"/>
      <c r="W213" s="384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23040</v>
      </c>
      <c r="R217" s="1"/>
      <c r="S217" s="3853"/>
      <c r="T217" s="3854"/>
      <c r="U217" s="3854"/>
      <c r="V217" s="3854"/>
      <c r="W217" s="3855"/>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6">
        <v>32000</v>
      </c>
      <c r="G218" s="3887"/>
      <c r="H218" s="1"/>
      <c r="I218" s="1" t="s">
        <v>1329</v>
      </c>
      <c r="K218" s="1"/>
      <c r="L218" s="3886"/>
      <c r="M218" s="3887"/>
      <c r="N218" s="1"/>
      <c r="O218" s="384">
        <f>+Q217/(P67*0.93)</f>
        <v>516.12903225806451</v>
      </c>
      <c r="P218" s="66" t="s">
        <v>2586</v>
      </c>
      <c r="Q218" s="1"/>
      <c r="R218" s="768"/>
      <c r="S218" s="3832"/>
      <c r="T218" s="3833"/>
      <c r="U218" s="3833"/>
      <c r="V218" s="3833"/>
      <c r="W218" s="383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9">
        <v>27500</v>
      </c>
      <c r="G219" s="3880"/>
      <c r="H219" s="1"/>
      <c r="I219" s="1" t="s">
        <v>1330</v>
      </c>
      <c r="K219" s="1"/>
      <c r="L219" s="3867">
        <v>600</v>
      </c>
      <c r="M219" s="3868"/>
      <c r="N219" s="1"/>
      <c r="O219" s="384">
        <f>+Q217/(P67*0.93)/12</f>
        <v>43.01075268817204</v>
      </c>
      <c r="P219" s="66" t="s">
        <v>2587</v>
      </c>
      <c r="Q219" s="1"/>
      <c r="R219" s="768"/>
      <c r="S219" s="3832"/>
      <c r="T219" s="3833"/>
      <c r="U219" s="3833"/>
      <c r="V219" s="3833"/>
      <c r="W219" s="383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9"/>
      <c r="G220" s="3880"/>
      <c r="H220" s="1"/>
      <c r="I220" s="1"/>
      <c r="K220" s="121" t="s">
        <v>183</v>
      </c>
      <c r="L220" s="3869">
        <f>SUM(L218:M219)</f>
        <v>600</v>
      </c>
      <c r="M220" s="3870"/>
      <c r="N220" s="1"/>
      <c r="O220" s="36" t="s">
        <v>3355</v>
      </c>
      <c r="P220" s="848"/>
      <c r="Q220" s="848"/>
      <c r="R220" s="768"/>
      <c r="S220" s="3832"/>
      <c r="T220" s="3833"/>
      <c r="U220" s="3833"/>
      <c r="V220" s="3833"/>
      <c r="W220" s="383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79"/>
      <c r="G221" s="3880"/>
      <c r="H221" s="1"/>
      <c r="I221" s="1"/>
      <c r="K221" s="1"/>
      <c r="L221" s="1"/>
      <c r="M221" s="1"/>
      <c r="N221" s="1"/>
      <c r="R221" s="768"/>
      <c r="S221" s="3832"/>
      <c r="T221" s="3833"/>
      <c r="U221" s="3833"/>
      <c r="V221" s="3833"/>
      <c r="W221" s="383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79"/>
      <c r="G222" s="3880"/>
      <c r="H222" s="1"/>
      <c r="I222" s="1"/>
      <c r="K222" s="1"/>
      <c r="L222" s="1"/>
      <c r="M222" s="1"/>
      <c r="N222" s="1"/>
      <c r="R222" s="768"/>
      <c r="S222" s="3832"/>
      <c r="T222" s="3833"/>
      <c r="U222" s="3833"/>
      <c r="V222" s="3833"/>
      <c r="W222" s="383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9"/>
      <c r="C223" s="3890"/>
      <c r="D223" s="3890"/>
      <c r="E223" s="3891"/>
      <c r="F223" s="3867"/>
      <c r="G223" s="3868"/>
      <c r="H223" s="1"/>
      <c r="I223" s="10" t="s">
        <v>1244</v>
      </c>
      <c r="K223" s="1"/>
      <c r="L223" s="1"/>
      <c r="M223" s="1"/>
      <c r="N223" s="1"/>
      <c r="R223" s="768"/>
      <c r="S223" s="3832"/>
      <c r="T223" s="3833"/>
      <c r="U223" s="3833"/>
      <c r="V223" s="3833"/>
      <c r="W223" s="383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9">
        <f>SUM(F218:G223)</f>
        <v>59500</v>
      </c>
      <c r="G224" s="3870"/>
      <c r="H224" s="1"/>
      <c r="I224" s="1" t="s">
        <v>1536</v>
      </c>
      <c r="K224" s="1"/>
      <c r="L224" s="3873">
        <v>1000</v>
      </c>
      <c r="M224" s="3874"/>
      <c r="N224" s="1"/>
      <c r="R224" s="1"/>
      <c r="S224" s="3832"/>
      <c r="T224" s="3833"/>
      <c r="U224" s="3833"/>
      <c r="V224" s="3833"/>
      <c r="W224" s="383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7">
        <v>7000</v>
      </c>
      <c r="M225" s="3878"/>
      <c r="N225" s="3888" t="str">
        <f>IF(Q227="","",IF(Q225&lt;Q227, "WARNING! OE below required minimum.",""))</f>
        <v/>
      </c>
      <c r="O225" s="10" t="s">
        <v>2091</v>
      </c>
      <c r="P225" s="5"/>
      <c r="Q225" s="393">
        <f>F224+F233+F244+L220+L228+L237+L244+Q217</f>
        <v>234358</v>
      </c>
      <c r="R225" s="5"/>
      <c r="S225" s="3832"/>
      <c r="T225" s="3833"/>
      <c r="U225" s="3833"/>
      <c r="V225" s="3833"/>
      <c r="W225" s="383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7">
        <v>1000</v>
      </c>
      <c r="M226" s="3878"/>
      <c r="N226" s="3888"/>
      <c r="O226" s="66" t="s">
        <v>2588</v>
      </c>
      <c r="P226" s="384">
        <f>+Q225/P67</f>
        <v>4882.458333333333</v>
      </c>
      <c r="R226" s="769"/>
      <c r="S226" s="3832"/>
      <c r="T226" s="3833"/>
      <c r="U226" s="3833"/>
      <c r="V226" s="3833"/>
      <c r="W226" s="383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6">
        <v>2500</v>
      </c>
      <c r="G227" s="3887"/>
      <c r="H227" s="1"/>
      <c r="I227" s="3893" t="s">
        <v>46</v>
      </c>
      <c r="J227" s="3894"/>
      <c r="K227" s="3895"/>
      <c r="L227" s="3881"/>
      <c r="M227" s="3882"/>
      <c r="N227" s="3888"/>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180000</v>
      </c>
      <c r="R227" s="1"/>
      <c r="S227" s="3832"/>
      <c r="T227" s="3833"/>
      <c r="U227" s="3833"/>
      <c r="V227" s="3833"/>
      <c r="W227" s="383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9">
        <v>3500</v>
      </c>
      <c r="G228" s="3880"/>
      <c r="H228" s="1"/>
      <c r="I228" s="10"/>
      <c r="K228" s="11" t="s">
        <v>183</v>
      </c>
      <c r="L228" s="3858">
        <f>SUM(L224:L227)</f>
        <v>9000</v>
      </c>
      <c r="M228" s="3892"/>
      <c r="N228" s="3888"/>
      <c r="R228" s="1"/>
      <c r="S228" s="3832"/>
      <c r="T228" s="3833"/>
      <c r="U228" s="3833"/>
      <c r="V228" s="3833"/>
      <c r="W228" s="383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9"/>
      <c r="G229" s="3880"/>
      <c r="H229" s="1"/>
      <c r="N229" s="1"/>
      <c r="R229" s="2665"/>
      <c r="S229" s="3832"/>
      <c r="T229" s="3833"/>
      <c r="U229" s="3833"/>
      <c r="V229" s="3833"/>
      <c r="W229" s="383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9"/>
      <c r="G230" s="3880"/>
      <c r="H230" s="1"/>
      <c r="L230" s="1"/>
      <c r="M230" s="1"/>
      <c r="N230" s="1"/>
      <c r="R230" s="2665"/>
      <c r="S230" s="3832"/>
      <c r="T230" s="3833"/>
      <c r="U230" s="3833"/>
      <c r="V230" s="3833"/>
      <c r="W230" s="383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9">
        <v>1440</v>
      </c>
      <c r="G231" s="3880"/>
      <c r="H231" s="1"/>
      <c r="I231" s="10" t="s">
        <v>1326</v>
      </c>
      <c r="K231" s="2623" t="s">
        <v>4065</v>
      </c>
      <c r="O231" s="1395" t="s">
        <v>3206</v>
      </c>
      <c r="P231" s="10"/>
      <c r="Q231" s="2932">
        <f>Q240</f>
        <v>12000</v>
      </c>
      <c r="S231" s="3832"/>
      <c r="T231" s="3833"/>
      <c r="U231" s="3833"/>
      <c r="V231" s="3833"/>
      <c r="W231" s="383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9" t="s">
        <v>6878</v>
      </c>
      <c r="C232" s="3890"/>
      <c r="D232" s="3890"/>
      <c r="E232" s="3891"/>
      <c r="F232" s="3867">
        <v>5418</v>
      </c>
      <c r="G232" s="3868"/>
      <c r="H232" s="1"/>
      <c r="I232" s="1" t="s">
        <v>1319</v>
      </c>
      <c r="K232" s="438">
        <f>L232/12/P67</f>
        <v>23.263888888888889</v>
      </c>
      <c r="L232" s="3873">
        <v>13400</v>
      </c>
      <c r="M232" s="3874"/>
      <c r="N232" s="3862" t="str">
        <f>IF(Q231&lt;Q240, "WARNING! RR proposed is below the DCA required minimum.","")</f>
        <v/>
      </c>
      <c r="O232" s="871" t="s">
        <v>4064</v>
      </c>
      <c r="P232" s="866"/>
      <c r="Q232" s="872">
        <f>Q231/P240</f>
        <v>250</v>
      </c>
      <c r="R232" s="768"/>
      <c r="S232" s="3832"/>
      <c r="T232" s="3833"/>
      <c r="U232" s="3833"/>
      <c r="V232" s="3833"/>
      <c r="W232" s="383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9">
        <f>SUM(F227:G232)</f>
        <v>12858</v>
      </c>
      <c r="G233" s="3870"/>
      <c r="H233" s="1"/>
      <c r="I233" s="1" t="s">
        <v>1320</v>
      </c>
      <c r="K233" s="438">
        <f>L233/12/P67</f>
        <v>0</v>
      </c>
      <c r="L233" s="3877"/>
      <c r="M233" s="3878"/>
      <c r="N233" s="3863"/>
      <c r="O233" s="3864" t="s">
        <v>3363</v>
      </c>
      <c r="P233" s="3865"/>
      <c r="Q233" s="3866"/>
      <c r="S233" s="3832"/>
      <c r="T233" s="3833"/>
      <c r="U233" s="3833"/>
      <c r="V233" s="3833"/>
      <c r="W233" s="383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6.9444444444444438</v>
      </c>
      <c r="L234" s="3877">
        <v>4000</v>
      </c>
      <c r="M234" s="3878"/>
      <c r="N234" s="3863"/>
      <c r="O234" s="865" t="s">
        <v>2561</v>
      </c>
      <c r="P234" s="765" t="s">
        <v>3420</v>
      </c>
      <c r="Q234" s="867" t="s">
        <v>3174</v>
      </c>
      <c r="R234" s="5"/>
      <c r="S234" s="3832"/>
      <c r="T234" s="3833"/>
      <c r="U234" s="3833"/>
      <c r="V234" s="3833"/>
      <c r="W234" s="383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7">
        <v>5760</v>
      </c>
      <c r="M235" s="3878"/>
      <c r="N235" s="3863"/>
      <c r="O235" s="568" t="s">
        <v>36</v>
      </c>
      <c r="P235" s="569"/>
      <c r="Q235" s="570"/>
      <c r="R235" s="769"/>
      <c r="S235" s="3832"/>
      <c r="T235" s="3833"/>
      <c r="U235" s="3833"/>
      <c r="V235" s="3833"/>
      <c r="W235" s="383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1">
        <v>4800</v>
      </c>
      <c r="G236" s="3872"/>
      <c r="H236" s="1"/>
      <c r="I236" s="3893" t="s">
        <v>6980</v>
      </c>
      <c r="J236" s="3894"/>
      <c r="K236" s="3895"/>
      <c r="L236" s="3881">
        <v>2000</v>
      </c>
      <c r="M236" s="3882"/>
      <c r="N236" s="3863"/>
      <c r="O236" s="464" t="s">
        <v>3172</v>
      </c>
      <c r="P236" s="770" t="str">
        <f>CONCATENATE(SUM(MF49:MJ49)," units x $",'DCA Underwriting Assumptions'!$Q$68," =")</f>
        <v>0 units x $350 =</v>
      </c>
      <c r="Q236" s="571">
        <f>SUM(MF49:MJ49)*'DCA Underwriting Assumptions'!$Q$68</f>
        <v>0</v>
      </c>
      <c r="R236" s="2933"/>
      <c r="S236" s="3832"/>
      <c r="T236" s="3833"/>
      <c r="U236" s="3833"/>
      <c r="V236" s="3833"/>
      <c r="W236" s="383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5">
        <v>4800</v>
      </c>
      <c r="G237" s="3876"/>
      <c r="H237" s="1"/>
      <c r="I237" s="1"/>
      <c r="K237" s="11" t="s">
        <v>183</v>
      </c>
      <c r="L237" s="3858">
        <f>SUM(L232:L236)</f>
        <v>25160</v>
      </c>
      <c r="M237" s="3892"/>
      <c r="N237" s="3863"/>
      <c r="O237" s="464" t="s">
        <v>3171</v>
      </c>
      <c r="P237" s="770" t="str">
        <f>CONCATENATE(SUM(MK49:MO49)," units x $",'DCA Underwriting Assumptions'!$Q$69," =")</f>
        <v>48 units x $250 =</v>
      </c>
      <c r="Q237" s="571">
        <f>SUM(MK49:MO49)*'DCA Underwriting Assumptions'!$Q$69</f>
        <v>12000</v>
      </c>
      <c r="S237" s="3832"/>
      <c r="T237" s="3833"/>
      <c r="U237" s="3833"/>
      <c r="V237" s="3833"/>
      <c r="W237" s="383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5">
        <v>24000</v>
      </c>
      <c r="G238" s="3876"/>
      <c r="H238" s="1"/>
      <c r="K238" s="1"/>
      <c r="L238" s="1"/>
      <c r="N238" s="3863"/>
      <c r="O238" s="572" t="s">
        <v>6834</v>
      </c>
      <c r="P238" s="770" t="str">
        <f>CONCATENATE(SUM(MP49:MT49)," units x $",'DCA Underwriting Assumptions'!$Q$70," =")</f>
        <v>0 units x $420 =</v>
      </c>
      <c r="Q238" s="571">
        <f>SUM(MP49:MT49)*'DCA Underwriting Assumptions'!$Q$70</f>
        <v>0</v>
      </c>
      <c r="R238" s="765"/>
      <c r="S238" s="3832"/>
      <c r="T238" s="3833"/>
      <c r="U238" s="3833"/>
      <c r="V238" s="3833"/>
      <c r="W238" s="383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9">
        <v>7000</v>
      </c>
      <c r="G239" s="3880"/>
      <c r="H239" s="1"/>
      <c r="O239" s="572" t="s">
        <v>3170</v>
      </c>
      <c r="P239" s="770" t="str">
        <f>CONCATENATE(P125," units x $",'DCA Underwriting Assumptions'!$Q$70," =")</f>
        <v>0 units x $420 =</v>
      </c>
      <c r="Q239" s="571">
        <f>P125*'DCA Underwriting Assumptions'!$Q$70</f>
        <v>0</v>
      </c>
      <c r="R239" s="569"/>
      <c r="S239" s="3832"/>
      <c r="T239" s="3833"/>
      <c r="U239" s="3833"/>
      <c r="V239" s="3833"/>
      <c r="W239" s="383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9">
        <v>900</v>
      </c>
      <c r="G240" s="3880"/>
      <c r="H240" s="1"/>
      <c r="I240" s="10" t="s">
        <v>1327</v>
      </c>
      <c r="O240" s="868" t="s">
        <v>2564</v>
      </c>
      <c r="P240" s="869">
        <f>SUM(MF49:MJ49)+SUM(MK49:MO49)+SUM(MP49:MT49)+P125</f>
        <v>48</v>
      </c>
      <c r="Q240" s="870">
        <f>SUM(Q236:Q239)</f>
        <v>12000</v>
      </c>
      <c r="R240" s="770"/>
      <c r="S240" s="3832"/>
      <c r="T240" s="3833"/>
      <c r="U240" s="3833"/>
      <c r="V240" s="3833"/>
      <c r="W240" s="383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9"/>
      <c r="G241" s="3880"/>
      <c r="H241" s="1"/>
      <c r="I241" s="93" t="s">
        <v>4123</v>
      </c>
      <c r="K241" s="1"/>
      <c r="L241" s="3873">
        <v>28800</v>
      </c>
      <c r="M241" s="3874"/>
      <c r="R241" s="770"/>
      <c r="S241" s="3832"/>
      <c r="T241" s="3833"/>
      <c r="U241" s="3833"/>
      <c r="V241" s="3833"/>
      <c r="W241" s="383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9">
        <v>2500</v>
      </c>
      <c r="G242" s="3880"/>
      <c r="H242" s="1"/>
      <c r="I242" s="1" t="s">
        <v>139</v>
      </c>
      <c r="K242" s="1"/>
      <c r="L242" s="3877">
        <v>29900</v>
      </c>
      <c r="M242" s="3878"/>
      <c r="R242" s="770"/>
      <c r="S242" s="3832"/>
      <c r="T242" s="3833"/>
      <c r="U242" s="3833"/>
      <c r="V242" s="3833"/>
      <c r="W242" s="383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9" t="s">
        <v>46</v>
      </c>
      <c r="C243" s="3890"/>
      <c r="D243" s="3890"/>
      <c r="E243" s="3891"/>
      <c r="F243" s="3867"/>
      <c r="G243" s="3868"/>
      <c r="H243" s="1"/>
      <c r="I243" s="3893" t="s">
        <v>6879</v>
      </c>
      <c r="J243" s="3894"/>
      <c r="K243" s="3895"/>
      <c r="L243" s="3896">
        <v>1500</v>
      </c>
      <c r="M243" s="3897"/>
      <c r="N243" s="1"/>
      <c r="R243" s="770"/>
      <c r="S243" s="3832"/>
      <c r="T243" s="3833"/>
      <c r="U243" s="3833"/>
      <c r="V243" s="3833"/>
      <c r="W243" s="383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0">
        <f>SUM(F236:G243)</f>
        <v>44000</v>
      </c>
      <c r="G244" s="3861"/>
      <c r="H244" s="1"/>
      <c r="K244" s="11" t="s">
        <v>183</v>
      </c>
      <c r="L244" s="3858">
        <f>SUM(L240:L243)</f>
        <v>60200</v>
      </c>
      <c r="M244" s="3859"/>
      <c r="N244" s="1"/>
      <c r="O244" s="10" t="s">
        <v>2092</v>
      </c>
      <c r="P244" s="1"/>
      <c r="Q244" s="393">
        <f>Q225+Q231</f>
        <v>246358</v>
      </c>
      <c r="R244" s="770"/>
      <c r="S244" s="3838"/>
      <c r="T244" s="3839"/>
      <c r="U244" s="3839"/>
      <c r="V244" s="3839"/>
      <c r="W244" s="384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925"/>
      <c r="L248" s="3926"/>
      <c r="M248" s="1359" t="s">
        <v>4092</v>
      </c>
      <c r="N248" s="2934"/>
      <c r="O248" s="10" t="s">
        <v>4057</v>
      </c>
      <c r="P248" s="1"/>
      <c r="Q248" s="2935">
        <f>K248*N248</f>
        <v>0</v>
      </c>
      <c r="R248" s="768"/>
      <c r="S248" s="3850"/>
      <c r="T248" s="3851"/>
      <c r="U248" s="3851"/>
      <c r="V248" s="3851"/>
      <c r="W248" s="385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4"/>
      <c r="O250" s="445" t="s">
        <v>4094</v>
      </c>
      <c r="P250" s="1"/>
      <c r="Q250" s="2936"/>
      <c r="R250" s="768"/>
      <c r="S250" s="3850"/>
      <c r="T250" s="3851"/>
      <c r="U250" s="3851"/>
      <c r="V250" s="3851"/>
      <c r="W250" s="385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4053</v>
      </c>
      <c r="O252" s="13"/>
      <c r="NP252" s="2850"/>
    </row>
    <row r="253" spans="1:493" ht="408.75" customHeight="1">
      <c r="A253" s="3471" t="s">
        <v>6917</v>
      </c>
      <c r="B253" s="3471"/>
      <c r="C253" s="3471"/>
      <c r="D253" s="3471"/>
      <c r="E253" s="3471"/>
      <c r="F253" s="3471"/>
      <c r="G253" s="3471"/>
      <c r="H253" s="3471"/>
      <c r="I253" s="3471"/>
      <c r="J253" s="3471"/>
      <c r="K253" s="3471"/>
      <c r="L253" s="3471"/>
      <c r="M253" s="3471"/>
      <c r="N253" s="3470"/>
      <c r="O253" s="3470"/>
      <c r="P253" s="3470"/>
      <c r="Q253" s="3470"/>
      <c r="R253" s="3857" t="s">
        <v>3525</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hrzFzgKS7727jnWNlOn4gkYIF4BrDyvGji9ihozdospJdVCwYMr6jH3+xwmkI6a93Vc+ppT6kvCp4GQHk1l6bg==" saltValue="dQAEM9DSV9IqUHGAOB6yg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54" priority="31" stopIfTrue="1" operator="greaterThan">
      <formula>0</formula>
    </cfRule>
  </conditionalFormatting>
  <conditionalFormatting sqref="P176">
    <cfRule type="cellIs" dxfId="53" priority="28" operator="greaterThan">
      <formula>0.02</formula>
    </cfRule>
  </conditionalFormatting>
  <conditionalFormatting sqref="Q11:Q48">
    <cfRule type="expression" dxfId="52" priority="26">
      <formula>AND($P$11="New Construction",$Q$11="Yes")</formula>
    </cfRule>
  </conditionalFormatting>
  <conditionalFormatting sqref="K56:P67 K156:P168 K93:P131 K136:P154">
    <cfRule type="cellIs" dxfId="51" priority="22" operator="equal">
      <formula>0</formula>
    </cfRule>
  </conditionalFormatting>
  <conditionalFormatting sqref="L53:O53">
    <cfRule type="containsText" dxfId="50" priority="16" operator="containsText" text="&lt;&lt; Select LIHTC Election &gt;&gt;">
      <formula>NOT(ISERROR(SEARCH("&lt;&lt; Select LIHTC Election &gt;&gt;",L53)))</formula>
    </cfRule>
  </conditionalFormatting>
  <conditionalFormatting sqref="U155">
    <cfRule type="cellIs" dxfId="49" priority="14" stopIfTrue="1" operator="greaterThan">
      <formula>0</formula>
    </cfRule>
  </conditionalFormatting>
  <conditionalFormatting sqref="K155:P155">
    <cfRule type="cellIs" dxfId="48" priority="13" operator="equal">
      <formula>0</formula>
    </cfRule>
  </conditionalFormatting>
  <conditionalFormatting sqref="L102:O102">
    <cfRule type="cellIs" dxfId="47" priority="7" operator="equal">
      <formula>"&lt;&lt; Select LIHTC Election &gt;&gt;"</formula>
    </cfRule>
    <cfRule type="containsText" dxfId="46" priority="11" operator="containsText" text="&lt;&lt; Select Election or Income Averaging &gt;&gt;">
      <formula>NOT(ISERROR(SEARCH("&lt;&lt; Select Election or Income Averaging &gt;&gt;",L102)))</formula>
    </cfRule>
  </conditionalFormatting>
  <conditionalFormatting sqref="L145:O145">
    <cfRule type="cellIs" dxfId="45" priority="6" operator="equal">
      <formula>"&lt;&lt; Select LIHTC Election &gt;&gt;"</formula>
    </cfRule>
    <cfRule type="containsText" dxfId="44" priority="9" operator="containsText" text="&lt;&lt; Select Election or Income Averaging &gt;&gt;">
      <formula>NOT(ISERROR(SEARCH("&lt;&lt; Select Election or Income Averaging &gt;&gt;",L145)))</formula>
    </cfRule>
  </conditionalFormatting>
  <conditionalFormatting sqref="K132:P133">
    <cfRule type="cellIs" dxfId="43" priority="5" operator="equal">
      <formula>0</formula>
    </cfRule>
  </conditionalFormatting>
  <conditionalFormatting sqref="A6:A10">
    <cfRule type="cellIs" dxfId="42" priority="4" operator="equal">
      <formula>"Finish Row!"</formula>
    </cfRule>
  </conditionalFormatting>
  <conditionalFormatting sqref="U69">
    <cfRule type="cellIs" dxfId="41" priority="3" stopIfTrue="1" operator="greaterThan">
      <formula>0</formula>
    </cfRule>
  </conditionalFormatting>
  <conditionalFormatting sqref="K130:P131">
    <cfRule type="cellIs" dxfId="40" priority="2" operator="equal">
      <formula>0</formula>
    </cfRule>
  </conditionalFormatting>
  <conditionalFormatting sqref="K134:P135">
    <cfRule type="cellIs" dxfId="39"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7" zoomScaleNormal="100" workbookViewId="0">
      <selection activeCell="A17"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43" t="str">
        <f>CONCATENATE("PART SEVEN - OPERATING PRO FORMA","  -  ",'Part I-Project Information'!$O$7," ",'Part I-Project Information'!$F$35,", ",'Part I-Project Information'!F39,", ",'Part I-Project Information'!J40," County")</f>
        <v>PART SEVEN - OPERATING PRO FORMA  -  2021-014 Dunbar Court, Byron, Peach County</v>
      </c>
      <c r="B2" s="3944"/>
      <c r="C2" s="3944"/>
      <c r="D2" s="3944"/>
      <c r="E2" s="3944"/>
      <c r="F2" s="3944"/>
      <c r="G2" s="3944"/>
      <c r="H2" s="3944"/>
      <c r="I2" s="3944"/>
      <c r="J2" s="3944"/>
      <c r="K2" s="3945"/>
      <c r="L2" s="10"/>
      <c r="M2" s="10"/>
      <c r="N2" s="3946" t="str">
        <f>A2</f>
        <v>PART SEVEN - OPERATING PRO FORMA  -  2021-014 Dunbar Court, Byron, Peach County</v>
      </c>
      <c r="O2" s="3946"/>
      <c r="P2" s="10"/>
      <c r="Z2" s="2807"/>
      <c r="AA2" s="1787">
        <v>2</v>
      </c>
    </row>
    <row r="3" spans="1:27" ht="13.5" customHeight="1">
      <c r="A3" s="461"/>
      <c r="B3" s="461"/>
      <c r="C3" s="461"/>
      <c r="D3" s="461"/>
      <c r="E3" s="461"/>
      <c r="F3" s="461"/>
      <c r="G3" s="461"/>
      <c r="H3" s="461"/>
      <c r="I3" s="461"/>
      <c r="J3" s="461"/>
      <c r="K3" s="461"/>
      <c r="N3" s="3947" t="s">
        <v>1760</v>
      </c>
      <c r="O3" s="3947"/>
      <c r="AA3" s="1788">
        <v>3</v>
      </c>
    </row>
    <row r="4" spans="1:27" ht="13.5" customHeight="1">
      <c r="A4" s="13" t="s">
        <v>85</v>
      </c>
      <c r="C4" s="3948" t="str">
        <f>'Part I-Project Information'!$B$7</f>
        <v>2021 Core Application</v>
      </c>
      <c r="D4" s="1010" t="s">
        <v>75</v>
      </c>
      <c r="E4" s="214"/>
      <c r="F4" s="1011" t="s">
        <v>3556</v>
      </c>
      <c r="N4" s="13" t="str">
        <f>A4</f>
        <v>I.  OPERATING ASSUMPTIONS</v>
      </c>
      <c r="O4" s="31"/>
      <c r="AA4" s="1788">
        <v>4</v>
      </c>
    </row>
    <row r="5" spans="1:27" ht="2.4500000000000002" customHeight="1">
      <c r="A5" s="16"/>
      <c r="B5" s="16"/>
      <c r="C5" s="3948"/>
      <c r="H5" s="16"/>
      <c r="I5" s="16"/>
      <c r="AA5" s="1788">
        <v>5</v>
      </c>
    </row>
    <row r="6" spans="1:27" ht="13.5" customHeight="1">
      <c r="A6" s="16" t="s">
        <v>2093</v>
      </c>
      <c r="B6" s="77">
        <v>0.02</v>
      </c>
      <c r="C6" s="3948"/>
      <c r="D6" s="3903" t="s">
        <v>3557</v>
      </c>
      <c r="E6" s="3903"/>
      <c r="F6" s="3903"/>
      <c r="G6" s="2937">
        <v>7500</v>
      </c>
      <c r="H6" s="95" t="s">
        <v>1818</v>
      </c>
      <c r="K6" s="100">
        <f>IF(($B$15+$B$16+$B$17+$B$18)=0,"",B31/($B$15+$B$16+$B$17+$B$18))</f>
        <v>-2.3248613155129182E-2</v>
      </c>
      <c r="N6" s="3853"/>
      <c r="O6" s="3855"/>
      <c r="AA6" s="1788">
        <v>6</v>
      </c>
    </row>
    <row r="7" spans="1:27">
      <c r="A7" s="16" t="s">
        <v>2094</v>
      </c>
      <c r="B7" s="77">
        <v>0.03</v>
      </c>
      <c r="C7" s="3948"/>
      <c r="D7" s="3903"/>
      <c r="E7" s="3903"/>
      <c r="F7" s="3903"/>
      <c r="G7" s="1012">
        <f>IF(OR('Part III-Sources of Funds'!E6="Yes",'Part III-Sources of Funds'!I6&gt;0),'DCA Underwriting Assumptions'!$Q$101,0)</f>
        <v>0</v>
      </c>
      <c r="H7" s="16"/>
      <c r="I7" s="16"/>
      <c r="J7" s="16"/>
      <c r="K7" s="16"/>
      <c r="N7" s="3832"/>
      <c r="O7" s="3834"/>
      <c r="AA7" s="1788">
        <v>7</v>
      </c>
    </row>
    <row r="8" spans="1:27">
      <c r="A8" s="16" t="s">
        <v>2096</v>
      </c>
      <c r="B8" s="77">
        <v>0.03</v>
      </c>
      <c r="C8" s="3948"/>
      <c r="D8" s="79" t="s">
        <v>259</v>
      </c>
      <c r="G8" s="81"/>
      <c r="H8" s="95" t="s">
        <v>2269</v>
      </c>
      <c r="K8" s="100">
        <f>IF(($B$15+$B$16+$B$17+$B$18)=0,"",-B22/($B$15+$B$16+$B$17+$B$18))</f>
        <v>7.1419739612556848E-2</v>
      </c>
      <c r="N8" s="3832"/>
      <c r="O8" s="3834"/>
      <c r="AA8" s="1788">
        <v>8</v>
      </c>
    </row>
    <row r="9" spans="1:27" ht="13.35" customHeight="1">
      <c r="A9" s="16" t="s">
        <v>2095</v>
      </c>
      <c r="B9" s="2938">
        <v>7.0000000000000007E-2</v>
      </c>
      <c r="C9" s="1297" t="str">
        <f>IF(B9&lt;0.07, "Must be &gt;= 7%!","")</f>
        <v/>
      </c>
      <c r="D9" s="78" t="s">
        <v>2391</v>
      </c>
      <c r="G9" s="2939" t="s">
        <v>2769</v>
      </c>
      <c r="H9" s="161" t="s">
        <v>1389</v>
      </c>
      <c r="K9" s="2940">
        <v>23040</v>
      </c>
      <c r="N9" s="3832"/>
      <c r="O9" s="3834"/>
      <c r="AA9" s="1788">
        <v>9</v>
      </c>
    </row>
    <row r="10" spans="1:27">
      <c r="A10" s="16" t="s">
        <v>1367</v>
      </c>
      <c r="B10" s="77">
        <v>0.02</v>
      </c>
      <c r="D10" s="78" t="s">
        <v>1641</v>
      </c>
      <c r="G10" s="2941"/>
      <c r="H10" s="161" t="s">
        <v>2251</v>
      </c>
      <c r="K10" s="2942"/>
      <c r="N10" s="3838"/>
      <c r="O10" s="3840"/>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8" t="s">
        <v>2499</v>
      </c>
      <c r="O14" s="3528"/>
      <c r="AA14" s="1788">
        <v>14</v>
      </c>
    </row>
    <row r="15" spans="1:27" ht="13.35" customHeight="1">
      <c r="A15" s="18" t="s">
        <v>2294</v>
      </c>
      <c r="B15" s="19">
        <f>'Part VI-Revenues &amp; Expenses'!$M$50</f>
        <v>340080</v>
      </c>
      <c r="C15" s="19">
        <f t="shared" ref="C15:K15" si="1">$B$15*(1+$B$6)^(C14-1)</f>
        <v>346881.60000000003</v>
      </c>
      <c r="D15" s="19">
        <f t="shared" si="1"/>
        <v>353819.23200000002</v>
      </c>
      <c r="E15" s="19">
        <f t="shared" si="1"/>
        <v>360895.61663999996</v>
      </c>
      <c r="F15" s="19">
        <f t="shared" si="1"/>
        <v>368113.52897280001</v>
      </c>
      <c r="G15" s="19">
        <f t="shared" si="1"/>
        <v>375475.79955225601</v>
      </c>
      <c r="H15" s="19">
        <f t="shared" si="1"/>
        <v>382985.31554330117</v>
      </c>
      <c r="I15" s="19">
        <f t="shared" si="1"/>
        <v>390645.02185416711</v>
      </c>
      <c r="J15" s="19">
        <f t="shared" si="1"/>
        <v>398457.92229125043</v>
      </c>
      <c r="K15" s="20">
        <f t="shared" si="1"/>
        <v>406427.08073707548</v>
      </c>
      <c r="N15" s="3853"/>
      <c r="O15" s="3855"/>
      <c r="S15" s="3939" t="s">
        <v>3562</v>
      </c>
      <c r="Z15" s="2807" t="s">
        <v>6772</v>
      </c>
      <c r="AA15" s="1788">
        <v>15</v>
      </c>
    </row>
    <row r="16" spans="1:27" ht="13.35" customHeight="1">
      <c r="A16" s="21" t="s">
        <v>977</v>
      </c>
      <c r="B16" s="22">
        <f>MIN(B15*B10,'Part VI-Revenues &amp; Expenses'!$H$176)</f>
        <v>6801.6</v>
      </c>
      <c r="C16" s="22">
        <f t="shared" ref="C16:K16" si="2">$B$16*(1+$B$6)^(C14-1)</f>
        <v>6937.6320000000005</v>
      </c>
      <c r="D16" s="22">
        <f t="shared" si="2"/>
        <v>7076.3846400000002</v>
      </c>
      <c r="E16" s="22">
        <f t="shared" si="2"/>
        <v>7217.9123327999996</v>
      </c>
      <c r="F16" s="22">
        <f t="shared" si="2"/>
        <v>7362.2705794560006</v>
      </c>
      <c r="G16" s="22">
        <f t="shared" si="2"/>
        <v>7509.5159910451202</v>
      </c>
      <c r="H16" s="22">
        <f t="shared" si="2"/>
        <v>7659.7063108660232</v>
      </c>
      <c r="I16" s="22">
        <f t="shared" si="2"/>
        <v>7812.9004370833418</v>
      </c>
      <c r="J16" s="22">
        <f t="shared" si="2"/>
        <v>7969.1584458250099</v>
      </c>
      <c r="K16" s="23">
        <f t="shared" si="2"/>
        <v>8128.5416147415099</v>
      </c>
      <c r="N16" s="3832"/>
      <c r="O16" s="3834"/>
      <c r="S16" s="3940"/>
      <c r="Z16" s="2807" t="s">
        <v>6772</v>
      </c>
      <c r="AA16" s="1788">
        <v>16</v>
      </c>
    </row>
    <row r="17" spans="1:27" ht="13.35" customHeight="1">
      <c r="A17" s="21" t="s">
        <v>2295</v>
      </c>
      <c r="B17" s="22">
        <f t="shared" ref="B17:K17" si="3">-(B15+B16)*$B$9</f>
        <v>-24281.712</v>
      </c>
      <c r="C17" s="22">
        <f t="shared" si="3"/>
        <v>-24767.346240000003</v>
      </c>
      <c r="D17" s="22">
        <f t="shared" si="3"/>
        <v>-25262.693164800003</v>
      </c>
      <c r="E17" s="22">
        <f t="shared" si="3"/>
        <v>-25767.947028095998</v>
      </c>
      <c r="F17" s="22">
        <f t="shared" si="3"/>
        <v>-26283.305968657922</v>
      </c>
      <c r="G17" s="22">
        <f t="shared" si="3"/>
        <v>-26808.972088031082</v>
      </c>
      <c r="H17" s="22">
        <f t="shared" si="3"/>
        <v>-27345.151529791707</v>
      </c>
      <c r="I17" s="22">
        <f t="shared" si="3"/>
        <v>-27892.054560387533</v>
      </c>
      <c r="J17" s="22">
        <f t="shared" si="3"/>
        <v>-28449.895651595281</v>
      </c>
      <c r="K17" s="23">
        <f t="shared" si="3"/>
        <v>-29018.893564627189</v>
      </c>
      <c r="N17" s="3832"/>
      <c r="O17" s="3834"/>
      <c r="Q17" s="3942" t="s">
        <v>3439</v>
      </c>
      <c r="R17" s="3942" t="s">
        <v>3561</v>
      </c>
      <c r="S17" s="3940"/>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2"/>
      <c r="O18" s="3834"/>
      <c r="Q18" s="3942"/>
      <c r="R18" s="3942"/>
      <c r="S18" s="3941"/>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2"/>
      <c r="O19" s="3834"/>
      <c r="Z19" s="2807" t="s">
        <v>6772</v>
      </c>
      <c r="AA19" s="1788">
        <v>19</v>
      </c>
    </row>
    <row r="20" spans="1:27" ht="13.35" customHeight="1">
      <c r="A20" s="409" t="s">
        <v>4015</v>
      </c>
      <c r="B20" s="22">
        <f>SUM(B15:B19)</f>
        <v>322599.88799999998</v>
      </c>
      <c r="C20" s="22">
        <f t="shared" ref="C20:K20" si="4">SUM(C15:C19)</f>
        <v>329051.88576000003</v>
      </c>
      <c r="D20" s="22">
        <f t="shared" si="4"/>
        <v>335632.92347520002</v>
      </c>
      <c r="E20" s="22">
        <f t="shared" si="4"/>
        <v>342345.58194470394</v>
      </c>
      <c r="F20" s="22">
        <f t="shared" si="4"/>
        <v>349192.49358359806</v>
      </c>
      <c r="G20" s="22">
        <f t="shared" si="4"/>
        <v>356176.34345527005</v>
      </c>
      <c r="H20" s="22">
        <f t="shared" si="4"/>
        <v>363299.87032437552</v>
      </c>
      <c r="I20" s="22">
        <f t="shared" si="4"/>
        <v>370565.86773086293</v>
      </c>
      <c r="J20" s="22">
        <f t="shared" si="4"/>
        <v>377977.18508548016</v>
      </c>
      <c r="K20" s="23">
        <f t="shared" si="4"/>
        <v>385536.72878718976</v>
      </c>
      <c r="N20" s="3832"/>
      <c r="O20" s="3834"/>
      <c r="Z20" s="2807" t="s">
        <v>6772</v>
      </c>
      <c r="AA20" s="1787">
        <v>20</v>
      </c>
    </row>
    <row r="21" spans="1:27" ht="13.35" customHeight="1">
      <c r="A21" s="21" t="s">
        <v>585</v>
      </c>
      <c r="B21" s="22">
        <f>-('Part VI-Revenues &amp; Expenses'!$Q$225-'Part VI-Revenues &amp; Expenses'!$Q$217)</f>
        <v>-211318</v>
      </c>
      <c r="C21" s="22">
        <f t="shared" ref="C21:K21" si="5">$B$21*(1+$B$7)^(C14-1)</f>
        <v>-217657.54</v>
      </c>
      <c r="D21" s="22">
        <f t="shared" si="5"/>
        <v>-224187.26619999998</v>
      </c>
      <c r="E21" s="22">
        <f t="shared" si="5"/>
        <v>-230912.88418600001</v>
      </c>
      <c r="F21" s="22">
        <f t="shared" si="5"/>
        <v>-237840.27071157997</v>
      </c>
      <c r="G21" s="22">
        <f t="shared" si="5"/>
        <v>-244975.47883292736</v>
      </c>
      <c r="H21" s="22">
        <f t="shared" si="5"/>
        <v>-252324.7431979152</v>
      </c>
      <c r="I21" s="22">
        <f t="shared" si="5"/>
        <v>-259894.48549385267</v>
      </c>
      <c r="J21" s="22">
        <f t="shared" si="5"/>
        <v>-267691.32005866821</v>
      </c>
      <c r="K21" s="23">
        <f t="shared" si="5"/>
        <v>-275722.05966042826</v>
      </c>
      <c r="N21" s="3832"/>
      <c r="O21" s="3834"/>
      <c r="Q21" s="62">
        <v>1</v>
      </c>
      <c r="R21" s="945">
        <f>-B32</f>
        <v>15380</v>
      </c>
      <c r="S21" s="945">
        <f>B33+R21</f>
        <v>15380.219148314645</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-23040</v>
      </c>
      <c r="C22" s="22">
        <f>IF(AND('Part VII-Pro Forma'!$G$9="Yes",'Part VII-Pro Forma'!$G$10="Yes"),"Choose One!",IF('Part VII-Pro Forma'!$G$9="Yes",ROUND((-$K$9*(1+'Part VII-Pro Forma'!$B$7)^('Part VII-Pro Forma'!C14-1)),),IF('Part VII-Pro Forma'!$G$10="Yes",ROUND((-(SUM(C15:C18)*'Part VII-Pro Forma'!$K$10)),),"Choose mgt fee")))</f>
        <v>-23731</v>
      </c>
      <c r="D22" s="22">
        <f>IF(AND('Part VII-Pro Forma'!$G$9="Yes",'Part VII-Pro Forma'!$G$10="Yes"),"Choose One!",IF('Part VII-Pro Forma'!$G$9="Yes",ROUND((-$K$9*(1+'Part VII-Pro Forma'!$B$7)^('Part VII-Pro Forma'!D14-1)),),IF('Part VII-Pro Forma'!$G$10="Yes",ROUND((-(SUM(D15:D18)*'Part VII-Pro Forma'!$K$10)),),"Choose mgt fee")))</f>
        <v>-24443</v>
      </c>
      <c r="E22" s="22">
        <f>IF(AND('Part VII-Pro Forma'!$G$9="Yes",'Part VII-Pro Forma'!$G$10="Yes"),"Choose One!",IF('Part VII-Pro Forma'!$G$9="Yes",ROUND((-$K$9*(1+'Part VII-Pro Forma'!$B$7)^('Part VII-Pro Forma'!E14-1)),),IF('Part VII-Pro Forma'!$G$10="Yes",ROUND((-(SUM(E15:E18)*'Part VII-Pro Forma'!$K$10)),),"Choose mgt fee")))</f>
        <v>-25176</v>
      </c>
      <c r="F22" s="22">
        <f>IF(AND('Part VII-Pro Forma'!$G$9="Yes",'Part VII-Pro Forma'!$G$10="Yes"),"Choose One!",IF('Part VII-Pro Forma'!$G$9="Yes",ROUND((-$K$9*(1+'Part VII-Pro Forma'!$B$7)^('Part VII-Pro Forma'!F14-1)),),IF('Part VII-Pro Forma'!$G$10="Yes",ROUND((-(SUM(F15:F18)*'Part VII-Pro Forma'!$K$10)),),"Choose mgt fee")))</f>
        <v>-25932</v>
      </c>
      <c r="G22" s="22">
        <f>IF(AND('Part VII-Pro Forma'!$G$9="Yes",'Part VII-Pro Forma'!$G$10="Yes"),"Choose One!",IF('Part VII-Pro Forma'!$G$9="Yes",ROUND((-$K$9*(1+'Part VII-Pro Forma'!$B$7)^('Part VII-Pro Forma'!G14-1)),),IF('Part VII-Pro Forma'!$G$10="Yes",ROUND((-(SUM(G15:G18)*'Part VII-Pro Forma'!$K$10)),),"Choose mgt fee")))</f>
        <v>-26710</v>
      </c>
      <c r="H22" s="22">
        <f>IF(AND('Part VII-Pro Forma'!$G$9="Yes",'Part VII-Pro Forma'!$G$10="Yes"),"Choose One!",IF('Part VII-Pro Forma'!$G$9="Yes",ROUND((-$K$9*(1+'Part VII-Pro Forma'!$B$7)^('Part VII-Pro Forma'!H14-1)),),IF('Part VII-Pro Forma'!$G$10="Yes",ROUND((-(SUM(H15:H18)*'Part VII-Pro Forma'!$K$10)),),"Choose mgt fee")))</f>
        <v>-27511</v>
      </c>
      <c r="I22" s="22">
        <f>IF(AND('Part VII-Pro Forma'!$G$9="Yes",'Part VII-Pro Forma'!$G$10="Yes"),"Choose One!",IF('Part VII-Pro Forma'!$G$9="Yes",ROUND((-$K$9*(1+'Part VII-Pro Forma'!$B$7)^('Part VII-Pro Forma'!I14-1)),),IF('Part VII-Pro Forma'!$G$10="Yes",ROUND((-(SUM(I15:I18)*'Part VII-Pro Forma'!$K$10)),),"Choose mgt fee")))</f>
        <v>-28336</v>
      </c>
      <c r="J22" s="22">
        <f>IF(AND('Part VII-Pro Forma'!$G$9="Yes",'Part VII-Pro Forma'!$G$10="Yes"),"Choose One!",IF('Part VII-Pro Forma'!$G$9="Yes",ROUND((-$K$9*(1+'Part VII-Pro Forma'!$B$7)^('Part VII-Pro Forma'!J14-1)),),IF('Part VII-Pro Forma'!$G$10="Yes",ROUND((-(SUM(J15:J18)*'Part VII-Pro Forma'!$K$10)),),"Choose mgt fee")))</f>
        <v>-29186</v>
      </c>
      <c r="K22" s="23">
        <f>IF(AND('Part VII-Pro Forma'!$G$9="Yes",'Part VII-Pro Forma'!$G$10="Yes"),"Choose One!",IF('Part VII-Pro Forma'!$G$9="Yes",ROUND((-$K$9*(1+'Part VII-Pro Forma'!$B$7)^('Part VII-Pro Forma'!K14-1)),),IF('Part VII-Pro Forma'!$G$10="Yes",ROUND((-(SUM(K15:K18)*'Part VII-Pro Forma'!$K$10)),),"Choose mgt fee")))</f>
        <v>-30062</v>
      </c>
      <c r="N22" s="3832"/>
      <c r="O22" s="3834"/>
      <c r="Q22" s="62">
        <v>2</v>
      </c>
      <c r="R22" s="945">
        <f>-SUM(B32:C32)</f>
        <v>17375</v>
      </c>
      <c r="S22" s="945">
        <f>SUM(B33:C33)+R22</f>
        <v>29821.896056629339</v>
      </c>
      <c r="Z22" s="2807" t="s">
        <v>6772</v>
      </c>
      <c r="AA22" s="1788">
        <v>22</v>
      </c>
    </row>
    <row r="23" spans="1:27" ht="13.35" customHeight="1">
      <c r="A23" s="21" t="s">
        <v>1156</v>
      </c>
      <c r="B23" s="22">
        <f>-('Part VI-Revenues &amp; Expenses'!$Q$231)</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32"/>
      <c r="O23" s="3834"/>
      <c r="Q23" s="62">
        <v>3</v>
      </c>
      <c r="R23" s="945">
        <f>-SUM(B32:D32)</f>
        <v>17375</v>
      </c>
      <c r="S23" s="945">
        <f>SUM(B33:D33)+R23</f>
        <v>43232.08448014404</v>
      </c>
      <c r="Z23" s="2807" t="s">
        <v>6772</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2"/>
      <c r="O24" s="3834"/>
      <c r="Q24" s="847">
        <v>4</v>
      </c>
      <c r="R24" s="945">
        <f>-SUM(B32:E32)</f>
        <v>17375</v>
      </c>
      <c r="S24" s="945">
        <f>SUM(B33:E33)+R24</f>
        <v>55514.389387162635</v>
      </c>
      <c r="Z24" s="2807" t="s">
        <v>6772</v>
      </c>
      <c r="AA24" s="1788">
        <v>24</v>
      </c>
    </row>
    <row r="25" spans="1:27" ht="13.35" customHeight="1">
      <c r="A25" s="21" t="s">
        <v>1157</v>
      </c>
      <c r="B25" s="22">
        <f>SUM(B20:B24)</f>
        <v>76241.887999999977</v>
      </c>
      <c r="C25" s="22">
        <f t="shared" ref="C25:J25" si="7">SUM(C20:C24)</f>
        <v>75303.345760000026</v>
      </c>
      <c r="D25" s="22">
        <f t="shared" si="7"/>
        <v>74271.857275200033</v>
      </c>
      <c r="E25" s="22">
        <f t="shared" si="7"/>
        <v>73143.973758703927</v>
      </c>
      <c r="F25" s="22">
        <f t="shared" si="7"/>
        <v>71914.117152018094</v>
      </c>
      <c r="G25" s="22">
        <f t="shared" si="7"/>
        <v>70579.575730742697</v>
      </c>
      <c r="H25" s="22">
        <f t="shared" si="7"/>
        <v>69135.499568112311</v>
      </c>
      <c r="I25" s="22">
        <f t="shared" si="7"/>
        <v>67576.895851911817</v>
      </c>
      <c r="J25" s="22">
        <f t="shared" si="7"/>
        <v>65898.624050160564</v>
      </c>
      <c r="K25" s="1299">
        <f>SUM(K20:K24)</f>
        <v>64095.390920810562</v>
      </c>
      <c r="N25" s="3832"/>
      <c r="O25" s="3834"/>
      <c r="Q25" s="847">
        <v>5</v>
      </c>
      <c r="R25" s="945">
        <f>-SUM(B32:F32)</f>
        <v>17375</v>
      </c>
      <c r="S25" s="945">
        <f>SUM(B33:F33)+R25</f>
        <v>66566.837687495397</v>
      </c>
      <c r="Z25" s="2807" t="s">
        <v>6772</v>
      </c>
      <c r="AA25" s="1787">
        <v>25</v>
      </c>
    </row>
    <row r="26" spans="1:27" ht="13.35" customHeight="1">
      <c r="A26" s="409" t="s">
        <v>1525</v>
      </c>
      <c r="B26" s="2944">
        <f>IF('Part III-Sources of Funds'!$P$40="", 0,-'Part III-Sources of Funds'!$P$40)</f>
        <v>-53361.668851685332</v>
      </c>
      <c r="C26" s="2944">
        <f>IF('Part III-Sources of Funds'!$P$40="", 0,-'Part III-Sources of Funds'!$P$40)</f>
        <v>-53361.668851685332</v>
      </c>
      <c r="D26" s="2944">
        <f>IF('Part III-Sources of Funds'!$P$40="", 0,-'Part III-Sources of Funds'!$P$40)</f>
        <v>-53361.668851685332</v>
      </c>
      <c r="E26" s="2944">
        <f>IF('Part III-Sources of Funds'!$P$40="", 0,-'Part III-Sources of Funds'!$P$40)</f>
        <v>-53361.668851685332</v>
      </c>
      <c r="F26" s="2944">
        <f>IF('Part III-Sources of Funds'!$P$40="", 0,-'Part III-Sources of Funds'!$P$40)</f>
        <v>-53361.668851685332</v>
      </c>
      <c r="G26" s="2944">
        <f>IF('Part III-Sources of Funds'!$P$40="", 0,-'Part III-Sources of Funds'!$P$40)</f>
        <v>-53361.668851685332</v>
      </c>
      <c r="H26" s="2944">
        <f>IF('Part III-Sources of Funds'!$P$40="", 0,-'Part III-Sources of Funds'!$P$40)</f>
        <v>-53361.668851685332</v>
      </c>
      <c r="I26" s="2944">
        <f>IF('Part III-Sources of Funds'!$P$40="", 0,-'Part III-Sources of Funds'!$P$40)</f>
        <v>-53361.668851685332</v>
      </c>
      <c r="J26" s="2944">
        <f>IF('Part III-Sources of Funds'!$P$40="", 0,-'Part III-Sources of Funds'!$P$40)</f>
        <v>-53361.668851685332</v>
      </c>
      <c r="K26" s="2944">
        <f>IF('Part III-Sources of Funds'!$P$40="", 0,-'Part III-Sources of Funds'!$P$40)</f>
        <v>-53361.668851685332</v>
      </c>
      <c r="N26" s="3832"/>
      <c r="O26" s="3834"/>
      <c r="Q26" s="847">
        <v>6</v>
      </c>
      <c r="R26" s="945">
        <f>-SUM(B32:G32)</f>
        <v>17375</v>
      </c>
      <c r="S26" s="945">
        <f>SUM(B33:G33)+R26</f>
        <v>76284.744566552763</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2"/>
      <c r="O27" s="3834"/>
      <c r="Q27" s="847">
        <v>7</v>
      </c>
      <c r="R27" s="945">
        <f>-SUM(B32:H32)</f>
        <v>17375</v>
      </c>
      <c r="S27" s="945">
        <f>SUM(B33:H33)+R27</f>
        <v>84558.575282979742</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2"/>
      <c r="O28" s="3834"/>
      <c r="Q28" s="847">
        <v>8</v>
      </c>
      <c r="R28" s="945">
        <f>-SUM(B32:I32)</f>
        <v>17375</v>
      </c>
      <c r="S28" s="945">
        <f>SUM(B33:I33)+R28</f>
        <v>91273.802283206227</v>
      </c>
      <c r="Z28" s="2807" t="s">
        <v>6772</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2"/>
      <c r="O29" s="3834"/>
      <c r="Q29" s="847">
        <v>9</v>
      </c>
      <c r="R29" s="945">
        <f>-SUM(B32:J32)</f>
        <v>17375</v>
      </c>
      <c r="S29" s="945">
        <f>SUM(B33:J33)+R29</f>
        <v>96310.757481681459</v>
      </c>
      <c r="Z29" s="2807" t="s">
        <v>6772</v>
      </c>
      <c r="AA29" s="1788">
        <v>29</v>
      </c>
    </row>
    <row r="30" spans="1:27" ht="13.35" customHeight="1">
      <c r="A30" s="21" t="s">
        <v>733</v>
      </c>
      <c r="B30" s="2946"/>
      <c r="C30" s="2946"/>
      <c r="D30" s="2946"/>
      <c r="E30" s="2946"/>
      <c r="F30" s="2946"/>
      <c r="G30" s="2946"/>
      <c r="H30" s="2946"/>
      <c r="I30" s="2946"/>
      <c r="J30" s="2946"/>
      <c r="K30" s="2946"/>
      <c r="N30" s="3832"/>
      <c r="O30" s="3834"/>
      <c r="Q30" s="847">
        <v>10</v>
      </c>
      <c r="R30" s="945">
        <f>-SUM(B32:K32)</f>
        <v>17375</v>
      </c>
      <c r="S30" s="945">
        <f>SUM(B33:K33)+R30</f>
        <v>99544.479550806689</v>
      </c>
      <c r="Z30" s="2807" t="s">
        <v>6772</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2"/>
      <c r="O31" s="3834"/>
      <c r="Q31" s="847">
        <v>11</v>
      </c>
      <c r="R31" s="945">
        <f>-SUM(B32:K32)-B64</f>
        <v>17375</v>
      </c>
      <c r="S31" s="945">
        <f>SUM(B33:K33)+B65+R31</f>
        <v>100845.55605968433</v>
      </c>
      <c r="Z31" s="2807" t="s">
        <v>6772</v>
      </c>
      <c r="AA31" s="1788">
        <v>31</v>
      </c>
    </row>
    <row r="32" spans="1:27" ht="13.35" customHeight="1">
      <c r="A32" s="409" t="s">
        <v>3510</v>
      </c>
      <c r="B32" s="2948">
        <v>-15380</v>
      </c>
      <c r="C32" s="2948">
        <v>-1995</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2"/>
      <c r="O32" s="3834"/>
      <c r="Q32" s="847">
        <v>12</v>
      </c>
      <c r="R32" s="945">
        <f>-SUM(B32:K32) - SUM(B64:C64)</f>
        <v>17375</v>
      </c>
      <c r="S32" s="945">
        <f>SUM(B33:K33) + SUM(B65:C65)+R32</f>
        <v>100078.96029574951</v>
      </c>
      <c r="Z32" s="2807" t="s">
        <v>6772</v>
      </c>
      <c r="AA32" s="1788">
        <v>32</v>
      </c>
    </row>
    <row r="33" spans="1:27" ht="13.35" customHeight="1">
      <c r="A33" s="21" t="s">
        <v>1122</v>
      </c>
      <c r="B33" s="22">
        <f t="shared" ref="B33:K33" si="9">SUM(B25:B32)</f>
        <v>0.21914831464528106</v>
      </c>
      <c r="C33" s="22">
        <f t="shared" si="9"/>
        <v>12446.676908314694</v>
      </c>
      <c r="D33" s="22">
        <f t="shared" si="9"/>
        <v>13410.188423514701</v>
      </c>
      <c r="E33" s="22">
        <f t="shared" si="9"/>
        <v>12282.304907018595</v>
      </c>
      <c r="F33" s="22">
        <f t="shared" si="9"/>
        <v>11052.448300332762</v>
      </c>
      <c r="G33" s="22">
        <f t="shared" si="9"/>
        <v>9717.9068790573656</v>
      </c>
      <c r="H33" s="22">
        <f t="shared" si="9"/>
        <v>8273.8307164269791</v>
      </c>
      <c r="I33" s="22">
        <f t="shared" si="9"/>
        <v>6715.227000226485</v>
      </c>
      <c r="J33" s="22">
        <f t="shared" si="9"/>
        <v>5036.9551984752325</v>
      </c>
      <c r="K33" s="23">
        <f t="shared" si="9"/>
        <v>3233.7220691252296</v>
      </c>
      <c r="N33" s="3832"/>
      <c r="O33" s="3834"/>
      <c r="Q33" s="847">
        <v>13</v>
      </c>
      <c r="R33" s="945">
        <f>-SUM(B32:K32) - SUM(B64:D64)</f>
        <v>17375</v>
      </c>
      <c r="S33" s="945">
        <f>SUM(B33:K33) + SUM(B65:D65)+R33</f>
        <v>97103.882598145341</v>
      </c>
      <c r="Z33" s="2807" t="s">
        <v>6772</v>
      </c>
      <c r="AA33" s="1788">
        <v>33</v>
      </c>
    </row>
    <row r="34" spans="1:27" ht="13.35" customHeight="1">
      <c r="A34" s="21" t="str">
        <f>IF('Part III-Sources of Funds'!$E$40 = "Neither", "", "DCR Mortgage A")</f>
        <v>DCR Mortgage A</v>
      </c>
      <c r="B34" s="24">
        <f t="shared" ref="B34:K34" si="10">IF(B26=0,"",-B25/B26)</f>
        <v>1.4287763040527923</v>
      </c>
      <c r="C34" s="24">
        <f t="shared" si="10"/>
        <v>1.4111879815696902</v>
      </c>
      <c r="D34" s="24">
        <f t="shared" si="10"/>
        <v>1.3918578424080583</v>
      </c>
      <c r="E34" s="24">
        <f t="shared" si="10"/>
        <v>1.3707212561511521</v>
      </c>
      <c r="F34" s="24">
        <f t="shared" si="10"/>
        <v>1.347673689739687</v>
      </c>
      <c r="G34" s="24">
        <f t="shared" si="10"/>
        <v>1.3226643253402217</v>
      </c>
      <c r="H34" s="24">
        <f t="shared" si="10"/>
        <v>1.2956022751137926</v>
      </c>
      <c r="I34" s="24">
        <f t="shared" si="10"/>
        <v>1.2663939735418812</v>
      </c>
      <c r="J34" s="24">
        <f t="shared" si="10"/>
        <v>1.2349430868311249</v>
      </c>
      <c r="K34" s="25">
        <f t="shared" si="10"/>
        <v>1.2011504193948428</v>
      </c>
      <c r="N34" s="3832"/>
      <c r="O34" s="3834"/>
      <c r="Q34" s="847">
        <v>14</v>
      </c>
      <c r="R34" s="945">
        <f>-SUM(B32:K32) - SUM(B64:E64)</f>
        <v>17375</v>
      </c>
      <c r="S34" s="945">
        <f>SUM(B33:K33) + SUM(B65:E65)+R34</f>
        <v>91774.556026335631</v>
      </c>
      <c r="Z34" s="2807" t="s">
        <v>6772</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2"/>
      <c r="O35" s="3834"/>
      <c r="Q35" s="847">
        <v>15</v>
      </c>
      <c r="R35" s="945">
        <f>-SUM(B32:K32) - SUM(B64:F64)</f>
        <v>17375</v>
      </c>
      <c r="S35" s="945">
        <f>SUM(B33:K33) + SUM(B65:F65)+R35</f>
        <v>83938.076181917713</v>
      </c>
      <c r="Z35" s="2807" t="s">
        <v>6772</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2"/>
      <c r="O36" s="3834"/>
      <c r="Q36" s="62">
        <v>16</v>
      </c>
      <c r="R36" s="945">
        <f>-SUM(B32:K32) - SUM(B64:G64)</f>
        <v>17375</v>
      </c>
      <c r="S36" s="945">
        <f>SUM(B33:K33) + SUM(B65:G65)+R36</f>
        <v>73435.214995893068</v>
      </c>
      <c r="Z36" s="2807" t="s">
        <v>6772</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2"/>
      <c r="O37" s="3834"/>
      <c r="Q37" s="62">
        <v>17</v>
      </c>
      <c r="R37" s="945">
        <f>-SUM(B32:K32) - SUM(B64:H64)</f>
        <v>17375</v>
      </c>
      <c r="S37" s="945">
        <f>SUM(B33:K33) + SUM(B65:H65)+R37</f>
        <v>60102.228287777289</v>
      </c>
      <c r="Z37" s="2807" t="s">
        <v>6772</v>
      </c>
      <c r="AA37" s="1788">
        <v>37</v>
      </c>
    </row>
    <row r="38" spans="1:27" ht="13.35" customHeight="1">
      <c r="A38" s="409" t="s">
        <v>3344</v>
      </c>
      <c r="B38" s="24">
        <f t="shared" ref="B38:K38" si="14">IF(AND(B26=0,B27=0,B28=0,B29=0),"",-B25/(B26+B27+B28+B29))</f>
        <v>1.4287763040527923</v>
      </c>
      <c r="C38" s="24">
        <f t="shared" si="14"/>
        <v>1.4111879815696902</v>
      </c>
      <c r="D38" s="24">
        <f t="shared" si="14"/>
        <v>1.3918578424080583</v>
      </c>
      <c r="E38" s="24">
        <f t="shared" si="14"/>
        <v>1.3707212561511521</v>
      </c>
      <c r="F38" s="24">
        <f t="shared" si="14"/>
        <v>1.347673689739687</v>
      </c>
      <c r="G38" s="24">
        <f t="shared" si="14"/>
        <v>1.3226643253402217</v>
      </c>
      <c r="H38" s="24">
        <f t="shared" si="14"/>
        <v>1.2956022751137926</v>
      </c>
      <c r="I38" s="24">
        <f t="shared" si="14"/>
        <v>1.2663939735418812</v>
      </c>
      <c r="J38" s="24">
        <f t="shared" si="14"/>
        <v>1.2349430868311249</v>
      </c>
      <c r="K38" s="25">
        <f t="shared" si="14"/>
        <v>1.2011504193948428</v>
      </c>
      <c r="N38" s="3832"/>
      <c r="O38" s="3834"/>
      <c r="Q38" s="62">
        <v>18</v>
      </c>
      <c r="R38" s="945">
        <f>-SUM(B32:K32) - SUM(B64:I64)</f>
        <v>17375</v>
      </c>
      <c r="S38" s="945">
        <f>SUM(B33:K33) + SUM(B65:I65)+R38</f>
        <v>43765.656896866269</v>
      </c>
      <c r="Z38" s="2807" t="s">
        <v>6772</v>
      </c>
      <c r="AA38" s="1788">
        <v>38</v>
      </c>
    </row>
    <row r="39" spans="1:27" ht="13.35" customHeight="1">
      <c r="A39" s="21" t="s">
        <v>740</v>
      </c>
      <c r="B39" s="263">
        <f t="shared" ref="B39:K39" si="15">IF(OR(B22="Choose mgt fee",B22="Choose One!"),"",(B15+B16+B17+B18+B19) / -(B21+B22+B23))</f>
        <v>1.3094759983438735</v>
      </c>
      <c r="C39" s="263">
        <f t="shared" si="15"/>
        <v>1.2967636612214597</v>
      </c>
      <c r="D39" s="263">
        <f t="shared" si="15"/>
        <v>1.2841733788243939</v>
      </c>
      <c r="E39" s="263">
        <f t="shared" si="15"/>
        <v>1.2717070460744291</v>
      </c>
      <c r="F39" s="263">
        <f t="shared" si="15"/>
        <v>1.2593571055828918</v>
      </c>
      <c r="G39" s="263">
        <f t="shared" si="15"/>
        <v>1.2471301628974327</v>
      </c>
      <c r="H39" s="263">
        <f t="shared" si="15"/>
        <v>1.2350233625859337</v>
      </c>
      <c r="I39" s="263">
        <f t="shared" si="15"/>
        <v>1.2230341765670267</v>
      </c>
      <c r="J39" s="263">
        <f t="shared" si="15"/>
        <v>1.2111603688236132</v>
      </c>
      <c r="K39" s="264">
        <f t="shared" si="15"/>
        <v>1.1993999631355894</v>
      </c>
      <c r="N39" s="3832"/>
      <c r="O39" s="3834"/>
      <c r="Q39" s="847">
        <v>19</v>
      </c>
      <c r="R39" s="945">
        <f>-SUM(B32:K32) - SUM(B64:J64)</f>
        <v>17375</v>
      </c>
      <c r="S39" s="945">
        <f>SUM(B33:K33) + SUM(B65:J65)+R39</f>
        <v>24248.121179734066</v>
      </c>
      <c r="Z39" s="2807" t="s">
        <v>6772</v>
      </c>
      <c r="AA39" s="1788">
        <v>39</v>
      </c>
    </row>
    <row r="40" spans="1:27" ht="13.35" customHeight="1">
      <c r="A40" s="409" t="s">
        <v>2493</v>
      </c>
      <c r="B40" s="2949">
        <f>IF('Part III-Sources of Funds'!$I$40="","",-FV('Part III-Sources of Funds'!$K$40/12,12,B26/12,'Part III-Sources of Funds'!$I$40))</f>
        <v>436485.17085624661</v>
      </c>
      <c r="C40" s="2949">
        <f>IF('Part III-Sources of Funds'!$I$40="","",-FV('Part III-Sources of Funds'!$K$40/12,12,C26/12,B40))</f>
        <v>392029.9361655105</v>
      </c>
      <c r="D40" s="2949">
        <f>IF('Part III-Sources of Funds'!$I$40="","",-FV('Part III-Sources of Funds'!$K$40/12,12,D26/12,C40))</f>
        <v>346613.97268143634</v>
      </c>
      <c r="E40" s="2949">
        <f>IF('Part III-Sources of Funds'!$I$40="","",-FV('Part III-Sources of Funds'!$K$40/12,12,E26/12,D40))</f>
        <v>300216.51794892142</v>
      </c>
      <c r="F40" s="2949">
        <f>IF('Part III-Sources of Funds'!$I$40="","",-FV('Part III-Sources of Funds'!$K$40/12,12,F26/12,E40))</f>
        <v>252816.36081230891</v>
      </c>
      <c r="G40" s="2949">
        <f>IF('Part III-Sources of Funds'!$I$40="","",-FV('Part III-Sources of Funds'!$K$40/12,12,G26/12,F40))</f>
        <v>204391.83171845236</v>
      </c>
      <c r="H40" s="2949">
        <f>IF('Part III-Sources of Funds'!$I$40="","",-FV('Part III-Sources of Funds'!$K$40/12,12,H26/12,G40))</f>
        <v>154920.7928102185</v>
      </c>
      <c r="I40" s="2949">
        <f>IF('Part III-Sources of Funds'!$I$40="","",-FV('Part III-Sources of Funds'!$K$40/12,12,I26/12,H40))</f>
        <v>104380.62780589881</v>
      </c>
      <c r="J40" s="2949">
        <f>IF('Part III-Sources of Funds'!$I$40="","",-FV('Part III-Sources of Funds'!$K$40/12,12,J26/12,I40))</f>
        <v>52748.231659903853</v>
      </c>
      <c r="K40" s="2949">
        <f>IF('Part III-Sources of Funds'!$I$40="","",-FV('Part III-Sources of Funds'!$K$40/12,12,K26/12,J40))</f>
        <v>1.3169483281672001E-8</v>
      </c>
      <c r="N40" s="3832"/>
      <c r="O40" s="3834"/>
      <c r="Q40" s="847">
        <v>20</v>
      </c>
      <c r="R40" s="945">
        <f>-SUM(B32:K32) - SUM(B64:K64)</f>
        <v>17375</v>
      </c>
      <c r="S40" s="945">
        <f>SUM(B33:K33) + SUM(B65:K65)+R40</f>
        <v>1363.1086615931999</v>
      </c>
      <c r="Z40" s="2807" t="s">
        <v>6772</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2"/>
      <c r="O41" s="3834"/>
      <c r="Z41" s="2807" t="s">
        <v>6772</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2"/>
      <c r="O42" s="3834"/>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2"/>
      <c r="O43" s="3834"/>
      <c r="Z43" s="2807" t="s">
        <v>6772</v>
      </c>
      <c r="AA43" s="1787">
        <v>43</v>
      </c>
    </row>
    <row r="44" spans="1:27" ht="13.35" customHeight="1">
      <c r="A44" s="409" t="s">
        <v>3511</v>
      </c>
      <c r="B44" s="2948">
        <f>IF('Part III-Sources of Funds'!$I$45="","",-FV('Part III-Sources of Funds'!$K$45/12,12,B32/12,'Part III-Sources of Funds'!$I$45))</f>
        <v>1995</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38"/>
      <c r="O44" s="3840"/>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8" t="s">
        <v>2497</v>
      </c>
      <c r="O46" s="3528"/>
      <c r="AA46" s="1788">
        <v>46</v>
      </c>
    </row>
    <row r="47" spans="1:27" ht="13.35" customHeight="1">
      <c r="A47" s="18" t="s">
        <v>2294</v>
      </c>
      <c r="B47" s="19">
        <f t="shared" ref="B47:K47" si="17">$B$15*(1+$B$6)^(B46-1)</f>
        <v>414555.62235181697</v>
      </c>
      <c r="C47" s="19">
        <f t="shared" si="17"/>
        <v>422846.73479885329</v>
      </c>
      <c r="D47" s="19">
        <f t="shared" si="17"/>
        <v>431303.66949483042</v>
      </c>
      <c r="E47" s="19">
        <f t="shared" si="17"/>
        <v>439929.74288472696</v>
      </c>
      <c r="F47" s="19">
        <f t="shared" si="17"/>
        <v>448728.33774242154</v>
      </c>
      <c r="G47" s="19">
        <f t="shared" si="17"/>
        <v>457702.90449726989</v>
      </c>
      <c r="H47" s="19">
        <f t="shared" si="17"/>
        <v>466856.96258721536</v>
      </c>
      <c r="I47" s="19">
        <f t="shared" si="17"/>
        <v>476194.10183895967</v>
      </c>
      <c r="J47" s="19">
        <f t="shared" si="17"/>
        <v>485717.98387573881</v>
      </c>
      <c r="K47" s="20">
        <f t="shared" si="17"/>
        <v>495432.34355325357</v>
      </c>
      <c r="N47" s="3853"/>
      <c r="O47" s="3855"/>
      <c r="Z47" s="2807" t="s">
        <v>6773</v>
      </c>
      <c r="AA47" s="1788">
        <v>47</v>
      </c>
    </row>
    <row r="48" spans="1:27" ht="13.35" customHeight="1">
      <c r="A48" s="21" t="s">
        <v>977</v>
      </c>
      <c r="B48" s="22">
        <f t="shared" ref="B48:K48" si="18">$B$16*(1+$B$6)^(B46-1)</f>
        <v>8291.1124470363411</v>
      </c>
      <c r="C48" s="22">
        <f t="shared" si="18"/>
        <v>8456.9346959770664</v>
      </c>
      <c r="D48" s="22">
        <f t="shared" si="18"/>
        <v>8626.0733898966082</v>
      </c>
      <c r="E48" s="22">
        <f t="shared" si="18"/>
        <v>8798.5948576945393</v>
      </c>
      <c r="F48" s="22">
        <f t="shared" si="18"/>
        <v>8974.5667548484325</v>
      </c>
      <c r="G48" s="22">
        <f t="shared" si="18"/>
        <v>9154.058089945398</v>
      </c>
      <c r="H48" s="22">
        <f t="shared" si="18"/>
        <v>9337.1392517443073</v>
      </c>
      <c r="I48" s="22">
        <f t="shared" si="18"/>
        <v>9523.8820367791941</v>
      </c>
      <c r="J48" s="22">
        <f t="shared" si="18"/>
        <v>9714.3596775147762</v>
      </c>
      <c r="K48" s="23">
        <f t="shared" si="18"/>
        <v>9908.6468710650715</v>
      </c>
      <c r="N48" s="3832"/>
      <c r="O48" s="3834"/>
      <c r="Z48" s="2807" t="s">
        <v>6773</v>
      </c>
      <c r="AA48" s="1787">
        <v>48</v>
      </c>
    </row>
    <row r="49" spans="1:27" ht="13.35" customHeight="1">
      <c r="A49" s="21" t="s">
        <v>2295</v>
      </c>
      <c r="B49" s="22">
        <f t="shared" ref="B49:K49" si="19">-(B47+B48)*$B$9</f>
        <v>-29599.271435919734</v>
      </c>
      <c r="C49" s="22">
        <f t="shared" si="19"/>
        <v>-30191.25686463813</v>
      </c>
      <c r="D49" s="22">
        <f t="shared" si="19"/>
        <v>-30795.082001930896</v>
      </c>
      <c r="E49" s="22">
        <f t="shared" si="19"/>
        <v>-31410.983641969506</v>
      </c>
      <c r="F49" s="22">
        <f t="shared" si="19"/>
        <v>-32039.203314808899</v>
      </c>
      <c r="G49" s="22">
        <f t="shared" si="19"/>
        <v>-32679.987381105075</v>
      </c>
      <c r="H49" s="22">
        <f t="shared" si="19"/>
        <v>-33333.58712872718</v>
      </c>
      <c r="I49" s="22">
        <f t="shared" si="19"/>
        <v>-34000.258871301725</v>
      </c>
      <c r="J49" s="22">
        <f t="shared" si="19"/>
        <v>-34680.264048727753</v>
      </c>
      <c r="K49" s="23">
        <f t="shared" si="19"/>
        <v>-35373.869329702306</v>
      </c>
      <c r="N49" s="3832"/>
      <c r="O49" s="3834"/>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2"/>
      <c r="O50" s="3834"/>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2"/>
      <c r="O51" s="3834"/>
      <c r="Z51" s="2807" t="s">
        <v>6773</v>
      </c>
      <c r="AA51" s="1787">
        <v>51</v>
      </c>
    </row>
    <row r="52" spans="1:27" ht="13.35" customHeight="1">
      <c r="A52" s="409" t="s">
        <v>4015</v>
      </c>
      <c r="B52" s="22">
        <f t="shared" ref="B52:K52" si="20">SUM(B47:B51)</f>
        <v>393247.46336293354</v>
      </c>
      <c r="C52" s="22">
        <f t="shared" si="20"/>
        <v>401112.41263019224</v>
      </c>
      <c r="D52" s="22">
        <f t="shared" si="20"/>
        <v>409134.6608827961</v>
      </c>
      <c r="E52" s="22">
        <f t="shared" si="20"/>
        <v>417317.35410045198</v>
      </c>
      <c r="F52" s="22">
        <f t="shared" si="20"/>
        <v>425663.70118246105</v>
      </c>
      <c r="G52" s="22">
        <f t="shared" si="20"/>
        <v>434176.97520611022</v>
      </c>
      <c r="H52" s="22">
        <f t="shared" si="20"/>
        <v>442860.5147102325</v>
      </c>
      <c r="I52" s="22">
        <f t="shared" si="20"/>
        <v>451717.72500443715</v>
      </c>
      <c r="J52" s="22">
        <f t="shared" si="20"/>
        <v>460752.07950452581</v>
      </c>
      <c r="K52" s="23">
        <f t="shared" si="20"/>
        <v>469967.12109461636</v>
      </c>
      <c r="N52" s="3832"/>
      <c r="O52" s="3834"/>
      <c r="Z52" s="2807" t="s">
        <v>6773</v>
      </c>
      <c r="AA52" s="1788">
        <v>52</v>
      </c>
    </row>
    <row r="53" spans="1:27" ht="13.35" customHeight="1">
      <c r="A53" s="21" t="s">
        <v>585</v>
      </c>
      <c r="B53" s="22">
        <f t="shared" ref="B53:K53" si="21">$B$21*(1+$B$7)^(B46-1)</f>
        <v>-283993.72145024111</v>
      </c>
      <c r="C53" s="22">
        <f t="shared" si="21"/>
        <v>-292513.53309374838</v>
      </c>
      <c r="D53" s="22">
        <f t="shared" si="21"/>
        <v>-301288.9390865608</v>
      </c>
      <c r="E53" s="22">
        <f t="shared" si="21"/>
        <v>-310327.60725915758</v>
      </c>
      <c r="F53" s="22">
        <f t="shared" si="21"/>
        <v>-319637.43547693233</v>
      </c>
      <c r="G53" s="22">
        <f t="shared" si="21"/>
        <v>-329226.55854124035</v>
      </c>
      <c r="H53" s="22">
        <f t="shared" si="21"/>
        <v>-339103.35529747751</v>
      </c>
      <c r="I53" s="22">
        <f t="shared" si="21"/>
        <v>-349276.45595640183</v>
      </c>
      <c r="J53" s="22">
        <f t="shared" si="21"/>
        <v>-359754.74963509385</v>
      </c>
      <c r="K53" s="23">
        <f t="shared" si="21"/>
        <v>-370547.39212414669</v>
      </c>
      <c r="N53" s="3832"/>
      <c r="O53" s="3834"/>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-30964</v>
      </c>
      <c r="C54" s="22">
        <f>IF(AND('Part VII-Pro Forma'!$G$9="Yes",'Part VII-Pro Forma'!$G$10="Yes"),"Choose One!",IF('Part VII-Pro Forma'!$G$9="Yes",ROUND((-$K$9*(1+'Part VII-Pro Forma'!$B$7)^('Part VII-Pro Forma'!C46-1)),),IF('Part VII-Pro Forma'!$G$10="Yes",ROUND((-(SUM(C47:C50)*'Part VII-Pro Forma'!$K$10)),),"Choose mgt fee")))</f>
        <v>-31893</v>
      </c>
      <c r="D54" s="22">
        <f>IF(AND('Part VII-Pro Forma'!$G$9="Yes",'Part VII-Pro Forma'!$G$10="Yes"),"Choose One!",IF('Part VII-Pro Forma'!$G$9="Yes",ROUND((-$K$9*(1+'Part VII-Pro Forma'!$B$7)^('Part VII-Pro Forma'!D46-1)),),IF('Part VII-Pro Forma'!$G$10="Yes",ROUND((-(SUM(D47:D50)*'Part VII-Pro Forma'!$K$10)),),"Choose mgt fee")))</f>
        <v>-32850</v>
      </c>
      <c r="E54" s="22">
        <f>IF(AND('Part VII-Pro Forma'!$G$9="Yes",'Part VII-Pro Forma'!$G$10="Yes"),"Choose One!",IF('Part VII-Pro Forma'!$G$9="Yes",ROUND((-$K$9*(1+'Part VII-Pro Forma'!$B$7)^('Part VII-Pro Forma'!E46-1)),),IF('Part VII-Pro Forma'!$G$10="Yes",ROUND((-(SUM(E47:E50)*'Part VII-Pro Forma'!$K$10)),),"Choose mgt fee")))</f>
        <v>-33835</v>
      </c>
      <c r="F54" s="22">
        <f>IF(AND('Part VII-Pro Forma'!$G$9="Yes",'Part VII-Pro Forma'!$G$10="Yes"),"Choose One!",IF('Part VII-Pro Forma'!$G$9="Yes",ROUND((-$K$9*(1+'Part VII-Pro Forma'!$B$7)^('Part VII-Pro Forma'!F46-1)),),IF('Part VII-Pro Forma'!$G$10="Yes",ROUND((-(SUM(F47:F50)*'Part VII-Pro Forma'!$K$10)),),"Choose mgt fee")))</f>
        <v>-34850</v>
      </c>
      <c r="G54" s="22">
        <f>IF(AND('Part VII-Pro Forma'!$G$9="Yes",'Part VII-Pro Forma'!$G$10="Yes"),"Choose One!",IF('Part VII-Pro Forma'!$G$9="Yes",ROUND((-$K$9*(1+'Part VII-Pro Forma'!$B$7)^('Part VII-Pro Forma'!G46-1)),),IF('Part VII-Pro Forma'!$G$10="Yes",ROUND((-(SUM(G47:G50)*'Part VII-Pro Forma'!$K$10)),),"Choose mgt fee")))</f>
        <v>-35896</v>
      </c>
      <c r="H54" s="22">
        <f>IF(AND('Part VII-Pro Forma'!$G$9="Yes",'Part VII-Pro Forma'!$G$10="Yes"),"Choose One!",IF('Part VII-Pro Forma'!$G$9="Yes",ROUND((-$K$9*(1+'Part VII-Pro Forma'!$B$7)^('Part VII-Pro Forma'!H46-1)),),IF('Part VII-Pro Forma'!$G$10="Yes",ROUND((-(SUM(H47:H50)*'Part VII-Pro Forma'!$K$10)),),"Choose mgt fee")))</f>
        <v>-36972</v>
      </c>
      <c r="I54" s="22">
        <f>IF(AND('Part VII-Pro Forma'!$G$9="Yes",'Part VII-Pro Forma'!$G$10="Yes"),"Choose One!",IF('Part VII-Pro Forma'!$G$9="Yes",ROUND((-$K$9*(1+'Part VII-Pro Forma'!$B$7)^('Part VII-Pro Forma'!I46-1)),),IF('Part VII-Pro Forma'!$G$10="Yes",ROUND((-(SUM(I47:I50)*'Part VII-Pro Forma'!$K$10)),),"Choose mgt fee")))</f>
        <v>-38082</v>
      </c>
      <c r="J54" s="22">
        <f>IF(AND('Part VII-Pro Forma'!$G$9="Yes",'Part VII-Pro Forma'!$G$10="Yes"),"Choose One!",IF('Part VII-Pro Forma'!$G$9="Yes",ROUND((-$K$9*(1+'Part VII-Pro Forma'!$B$7)^('Part VII-Pro Forma'!J46-1)),),IF('Part VII-Pro Forma'!$G$10="Yes",ROUND((-(SUM(J47:J50)*'Part VII-Pro Forma'!$K$10)),),"Choose mgt fee")))</f>
        <v>-39224</v>
      </c>
      <c r="K54" s="23">
        <f>IF(AND('Part VII-Pro Forma'!$G$9="Yes",'Part VII-Pro Forma'!$G$10="Yes"),"Choose One!",IF('Part VII-Pro Forma'!$G$9="Yes",ROUND((-$K$9*(1+'Part VII-Pro Forma'!$B$7)^('Part VII-Pro Forma'!K46-1)),),IF('Part VII-Pro Forma'!$G$10="Yes",ROUND((-(SUM(K47:K50)*'Part VII-Pro Forma'!$K$10)),),"Choose mgt fee")))</f>
        <v>-40401</v>
      </c>
      <c r="N54" s="3832"/>
      <c r="O54" s="3834"/>
      <c r="Z54" s="2807" t="s">
        <v>6773</v>
      </c>
      <c r="AA54" s="1788">
        <v>54</v>
      </c>
    </row>
    <row r="55" spans="1:27" ht="13.35" customHeight="1">
      <c r="A55" s="21" t="s">
        <v>1156</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32"/>
      <c r="O55" s="3834"/>
      <c r="Q55" s="847">
        <v>10</v>
      </c>
      <c r="R55" s="945">
        <f>-SUM(B61:K61)</f>
        <v>0</v>
      </c>
      <c r="S55" s="945">
        <f>SUM(B62:K62)+R55</f>
        <v>0</v>
      </c>
      <c r="Z55" s="2807" t="s">
        <v>6773</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2"/>
      <c r="O56" s="3834"/>
      <c r="Z56" s="2807" t="s">
        <v>6773</v>
      </c>
      <c r="AA56" s="1788">
        <v>56</v>
      </c>
    </row>
    <row r="57" spans="1:27" ht="13.35" customHeight="1">
      <c r="A57" s="21" t="s">
        <v>1157</v>
      </c>
      <c r="B57" s="22">
        <f t="shared" ref="B57:K57" si="23">SUM(B52:B56)</f>
        <v>62162.745360562971</v>
      </c>
      <c r="C57" s="22">
        <f t="shared" si="23"/>
        <v>60095.073087750512</v>
      </c>
      <c r="D57" s="22">
        <f t="shared" si="23"/>
        <v>57886.591154081158</v>
      </c>
      <c r="E57" s="22">
        <f t="shared" si="23"/>
        <v>55532.342279875636</v>
      </c>
      <c r="F57" s="22">
        <f t="shared" si="23"/>
        <v>53025.1890072674</v>
      </c>
      <c r="G57" s="22">
        <f t="shared" si="23"/>
        <v>50358.807665660701</v>
      </c>
      <c r="H57" s="22">
        <f t="shared" si="23"/>
        <v>47528.682143569546</v>
      </c>
      <c r="I57" s="22">
        <f t="shared" si="23"/>
        <v>44525.097460774312</v>
      </c>
      <c r="J57" s="22">
        <f t="shared" si="23"/>
        <v>41344.133134553129</v>
      </c>
      <c r="K57" s="1299">
        <f t="shared" si="23"/>
        <v>37976.656333544466</v>
      </c>
      <c r="N57" s="3832"/>
      <c r="O57" s="3834"/>
      <c r="Z57" s="2807" t="s">
        <v>6773</v>
      </c>
      <c r="AA57" s="1788">
        <v>57</v>
      </c>
    </row>
    <row r="58" spans="1:27" ht="13.35" customHeight="1">
      <c r="A58" s="21" t="str">
        <f>$A26</f>
        <v>Mortgage A</v>
      </c>
      <c r="B58" s="2944">
        <f>IF('Part III-Sources of Funds'!$P$40="", 0,-'Part III-Sources of Funds'!$P$40)</f>
        <v>-53361.668851685332</v>
      </c>
      <c r="C58" s="2944">
        <f>IF('Part III-Sources of Funds'!$P$40="", 0,-'Part III-Sources of Funds'!$P$40)</f>
        <v>-53361.668851685332</v>
      </c>
      <c r="D58" s="2944">
        <f>IF('Part III-Sources of Funds'!$P$40="", 0,-'Part III-Sources of Funds'!$P$40)</f>
        <v>-53361.668851685332</v>
      </c>
      <c r="E58" s="2944">
        <f>IF('Part III-Sources of Funds'!$P$40="", 0,-'Part III-Sources of Funds'!$P$40)</f>
        <v>-53361.668851685332</v>
      </c>
      <c r="F58" s="2944">
        <f>IF('Part III-Sources of Funds'!$P$40="", 0,-'Part III-Sources of Funds'!$P$40)</f>
        <v>-53361.668851685332</v>
      </c>
      <c r="G58" s="2944">
        <f>IF('Part III-Sources of Funds'!$P$40="", 0,-'Part III-Sources of Funds'!$P$40)</f>
        <v>-53361.668851685332</v>
      </c>
      <c r="H58" s="2944">
        <f>IF('Part III-Sources of Funds'!$P$40="", 0,-'Part III-Sources of Funds'!$P$40)</f>
        <v>-53361.668851685332</v>
      </c>
      <c r="I58" s="2944">
        <f>IF('Part III-Sources of Funds'!$P$40="", 0,-'Part III-Sources of Funds'!$P$40)</f>
        <v>-53361.668851685332</v>
      </c>
      <c r="J58" s="2944">
        <f>IF('Part III-Sources of Funds'!$P$40="", 0,-'Part III-Sources of Funds'!$P$40)</f>
        <v>-53361.668851685332</v>
      </c>
      <c r="K58" s="2944">
        <f>IF('Part III-Sources of Funds'!$P$40="", 0,-'Part III-Sources of Funds'!$P$40)</f>
        <v>-53361.668851685332</v>
      </c>
      <c r="N58" s="3832"/>
      <c r="O58" s="3834"/>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2"/>
      <c r="O59" s="3834"/>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2"/>
      <c r="O60" s="3834"/>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2"/>
      <c r="O61" s="3834"/>
      <c r="Z61" s="2807" t="s">
        <v>6773</v>
      </c>
      <c r="AA61" s="1788">
        <v>61</v>
      </c>
    </row>
    <row r="62" spans="1:27" ht="13.35" customHeight="1">
      <c r="A62" s="21" t="s">
        <v>733</v>
      </c>
      <c r="B62" s="2946"/>
      <c r="C62" s="2946"/>
      <c r="D62" s="2946"/>
      <c r="E62" s="2946"/>
      <c r="F62" s="2946"/>
      <c r="G62" s="2946"/>
      <c r="H62" s="2946"/>
      <c r="I62" s="2946"/>
      <c r="J62" s="2946"/>
      <c r="K62" s="2946"/>
      <c r="N62" s="3832"/>
      <c r="O62" s="3834"/>
      <c r="Q62" s="847"/>
      <c r="R62" s="945"/>
      <c r="Z62" s="2807" t="s">
        <v>6773</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2"/>
      <c r="O63" s="3834"/>
      <c r="Z63" s="2807" t="s">
        <v>6773</v>
      </c>
      <c r="AA63" s="1788">
        <v>63</v>
      </c>
    </row>
    <row r="64" spans="1:27" ht="13.35" customHeight="1">
      <c r="A64" s="409" t="s">
        <v>3510</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2"/>
      <c r="O64" s="3834"/>
      <c r="Z64" s="2807" t="s">
        <v>6773</v>
      </c>
      <c r="AA64" s="1788">
        <v>64</v>
      </c>
    </row>
    <row r="65" spans="1:27" ht="13.35" customHeight="1">
      <c r="A65" s="21" t="s">
        <v>1122</v>
      </c>
      <c r="B65" s="22">
        <f t="shared" ref="B65:K65" si="25">SUM(B57:B64)</f>
        <v>1301.0765088776388</v>
      </c>
      <c r="C65" s="22">
        <f t="shared" si="25"/>
        <v>-766.59576393481984</v>
      </c>
      <c r="D65" s="22">
        <f t="shared" si="25"/>
        <v>-2975.0776976041743</v>
      </c>
      <c r="E65" s="22">
        <f t="shared" si="25"/>
        <v>-5329.3265718096955</v>
      </c>
      <c r="F65" s="22">
        <f t="shared" si="25"/>
        <v>-7836.4798444179323</v>
      </c>
      <c r="G65" s="22">
        <f t="shared" si="25"/>
        <v>-10502.861186024631</v>
      </c>
      <c r="H65" s="22">
        <f t="shared" si="25"/>
        <v>-13332.986708115786</v>
      </c>
      <c r="I65" s="22">
        <f t="shared" si="25"/>
        <v>-16336.57139091102</v>
      </c>
      <c r="J65" s="22">
        <f t="shared" si="25"/>
        <v>-19517.535717132203</v>
      </c>
      <c r="K65" s="566">
        <f t="shared" si="25"/>
        <v>-22885.012518140866</v>
      </c>
      <c r="N65" s="3832"/>
      <c r="O65" s="3834"/>
      <c r="Z65" s="2807" t="s">
        <v>6773</v>
      </c>
      <c r="AA65" s="1788">
        <v>65</v>
      </c>
    </row>
    <row r="66" spans="1:27" ht="13.35" customHeight="1">
      <c r="A66" s="21" t="str">
        <f>$A34</f>
        <v>DCR Mortgage A</v>
      </c>
      <c r="B66" s="24">
        <f t="shared" ref="B66:K66" si="26">IF(B58=0,"",-B57/B58)</f>
        <v>1.1649325573632181</v>
      </c>
      <c r="C66" s="24">
        <f t="shared" si="26"/>
        <v>1.1261842888531122</v>
      </c>
      <c r="D66" s="24">
        <f t="shared" si="26"/>
        <v>1.0847972411614881</v>
      </c>
      <c r="E66" s="24">
        <f t="shared" si="26"/>
        <v>1.0406785146510977</v>
      </c>
      <c r="F66" s="24">
        <f t="shared" si="26"/>
        <v>0.9936943530504424</v>
      </c>
      <c r="G66" s="24">
        <f t="shared" si="26"/>
        <v>0.94372625049694658</v>
      </c>
      <c r="H66" s="24">
        <f t="shared" si="26"/>
        <v>0.89068957486453193</v>
      </c>
      <c r="I66" s="24">
        <f t="shared" si="26"/>
        <v>0.83440226700046449</v>
      </c>
      <c r="J66" s="24">
        <f t="shared" si="26"/>
        <v>0.77479085688766547</v>
      </c>
      <c r="K66" s="25">
        <f t="shared" si="26"/>
        <v>0.71168419486837398</v>
      </c>
      <c r="N66" s="3832"/>
      <c r="O66" s="3834"/>
      <c r="Z66" s="2807" t="s">
        <v>6773</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2"/>
      <c r="O67" s="3834"/>
      <c r="Z67" s="2807" t="s">
        <v>6773</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2"/>
      <c r="O68" s="3834"/>
      <c r="Z68" s="2807" t="s">
        <v>6773</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2"/>
      <c r="O69" s="3834"/>
      <c r="Z69" s="2807" t="s">
        <v>6773</v>
      </c>
      <c r="AA69" s="1787">
        <v>69</v>
      </c>
    </row>
    <row r="70" spans="1:27" ht="13.35" customHeight="1">
      <c r="A70" s="409" t="s">
        <v>3344</v>
      </c>
      <c r="B70" s="24">
        <f t="shared" ref="B70:K70" si="30">IF(AND(B58=0,B59=0,B60=0,B61=0),"",-B57/(B58+B59+B60+B61))</f>
        <v>1.1649325573632181</v>
      </c>
      <c r="C70" s="24">
        <f t="shared" si="30"/>
        <v>1.1261842888531122</v>
      </c>
      <c r="D70" s="24">
        <f t="shared" si="30"/>
        <v>1.0847972411614881</v>
      </c>
      <c r="E70" s="24">
        <f t="shared" si="30"/>
        <v>1.0406785146510977</v>
      </c>
      <c r="F70" s="24">
        <f t="shared" si="30"/>
        <v>0.9936943530504424</v>
      </c>
      <c r="G70" s="24">
        <f t="shared" si="30"/>
        <v>0.94372625049694658</v>
      </c>
      <c r="H70" s="24">
        <f t="shared" si="30"/>
        <v>0.89068957486453193</v>
      </c>
      <c r="I70" s="24">
        <f t="shared" si="30"/>
        <v>0.83440226700046449</v>
      </c>
      <c r="J70" s="24">
        <f t="shared" si="30"/>
        <v>0.77479085688766547</v>
      </c>
      <c r="K70" s="25">
        <f t="shared" si="30"/>
        <v>0.71168419486837398</v>
      </c>
      <c r="N70" s="3832"/>
      <c r="O70" s="3834"/>
      <c r="Z70" s="2807" t="s">
        <v>6773</v>
      </c>
      <c r="AA70" s="1788">
        <v>70</v>
      </c>
    </row>
    <row r="71" spans="1:27" ht="13.35" customHeight="1">
      <c r="A71" s="21" t="s">
        <v>740</v>
      </c>
      <c r="B71" s="263">
        <f t="shared" ref="B71:K71" si="31">IF(OR(B54="Choose mgt fee",B54="Choose One!"),"",(B47+B48+B49+B50+B51) / -(B53+B54+B55))</f>
        <v>1.1877548010540249</v>
      </c>
      <c r="C71" s="263">
        <f t="shared" si="31"/>
        <v>1.1762229251110303</v>
      </c>
      <c r="D71" s="263">
        <f t="shared" si="31"/>
        <v>1.1648025886627353</v>
      </c>
      <c r="E71" s="263">
        <f t="shared" si="31"/>
        <v>1.1534954198362877</v>
      </c>
      <c r="F71" s="263">
        <f t="shared" si="31"/>
        <v>1.1422965884490703</v>
      </c>
      <c r="G71" s="263">
        <f t="shared" si="31"/>
        <v>1.1312048566860857</v>
      </c>
      <c r="H71" s="263">
        <f t="shared" si="31"/>
        <v>1.120224778852219</v>
      </c>
      <c r="I71" s="263">
        <f t="shared" si="31"/>
        <v>1.1093465216434939</v>
      </c>
      <c r="J71" s="263">
        <f t="shared" si="31"/>
        <v>1.09857737196539</v>
      </c>
      <c r="K71" s="264">
        <f t="shared" si="31"/>
        <v>1.0879108670941355</v>
      </c>
      <c r="N71" s="3832"/>
      <c r="O71" s="3834"/>
      <c r="Z71" s="2807" t="s">
        <v>6773</v>
      </c>
      <c r="AA71" s="1788">
        <v>71</v>
      </c>
    </row>
    <row r="72" spans="1:27" ht="13.35" customHeight="1">
      <c r="A72" s="409" t="s">
        <v>2493</v>
      </c>
      <c r="B72" s="2949">
        <f>IF('Part III-Sources of Funds'!$I$40="","",-FV('Part III-Sources of Funds'!$K$40/12,12,B58/12,K40))</f>
        <v>-53888.181663647978</v>
      </c>
      <c r="C72" s="2949">
        <f>IF('Part III-Sources of Funds'!$I$40="","",-FV('Part III-Sources of Funds'!$K$40/12,12,C58/12,B72))</f>
        <v>-108940.9489628383</v>
      </c>
      <c r="D72" s="2949">
        <f>IF('Part III-Sources of Funds'!$I$40="","",-FV('Part III-Sources of Funds'!$K$40/12,12,D58/12,C72))</f>
        <v>-165183.46993367648</v>
      </c>
      <c r="E72" s="2949">
        <f>IF('Part III-Sources of Funds'!$I$40="","",-FV('Part III-Sources of Funds'!$K$40/12,12,E58/12,D72))</f>
        <v>-222641.45652251222</v>
      </c>
      <c r="F72" s="2949">
        <f>IF('Part III-Sources of Funds'!$I$40="","",-FV('Part III-Sources of Funds'!$K$40/12,12,F58/12,E72))</f>
        <v>-281341.1763404524</v>
      </c>
      <c r="G72" s="2949">
        <f>IF('Part III-Sources of Funds'!$I$40="","",-FV('Part III-Sources of Funds'!$K$40/12,12,G58/12,F72))</f>
        <v>-341309.46467191621</v>
      </c>
      <c r="H72" s="2949">
        <f>IF('Part III-Sources of Funds'!$I$40="","",-FV('Part III-Sources of Funds'!$K$40/12,12,H58/12,G72))</f>
        <v>-402573.73674270872</v>
      </c>
      <c r="I72" s="2949">
        <f>IF('Part III-Sources of Funds'!$I$40="","",-FV('Part III-Sources of Funds'!$K$40/12,12,I58/12,H72))</f>
        <v>-465162.00025322178</v>
      </c>
      <c r="J72" s="2949">
        <f>IF('Part III-Sources of Funds'!$I$40="","",-FV('Part III-Sources of Funds'!$K$40/12,12,J58/12,I72))</f>
        <v>-529102.86818249198</v>
      </c>
      <c r="K72" s="2949">
        <f>IF('Part III-Sources of Funds'!$I$40="","",-FV('Part III-Sources of Funds'!$K$40/12,12,K58/12,J72))</f>
        <v>-594425.57186896889</v>
      </c>
      <c r="N72" s="3832"/>
      <c r="O72" s="3834"/>
      <c r="Z72" s="2807" t="s">
        <v>6773</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2"/>
      <c r="O73" s="3834"/>
      <c r="Z73" s="2807" t="s">
        <v>6773</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2"/>
      <c r="O74" s="3834"/>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2"/>
      <c r="O75" s="3834"/>
      <c r="Z75" s="2807" t="s">
        <v>6773</v>
      </c>
      <c r="AA75" s="1788">
        <v>75</v>
      </c>
    </row>
    <row r="76" spans="1:27" ht="13.35" customHeight="1">
      <c r="A76" s="409" t="s">
        <v>3511</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38"/>
      <c r="O76" s="3840"/>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8" t="s">
        <v>2498</v>
      </c>
      <c r="O78" s="3528"/>
      <c r="AA78" s="1788">
        <v>78</v>
      </c>
    </row>
    <row r="79" spans="1:27" ht="13.35" customHeight="1">
      <c r="A79" s="18" t="s">
        <v>2294</v>
      </c>
      <c r="B79" s="19">
        <f t="shared" ref="B79:K79" si="33">$B$15*(1+$B$6)^(B78-1)</f>
        <v>505340.9904243187</v>
      </c>
      <c r="C79" s="19">
        <f t="shared" si="33"/>
        <v>515447.81023280503</v>
      </c>
      <c r="D79" s="19">
        <f t="shared" si="33"/>
        <v>525756.76643746113</v>
      </c>
      <c r="E79" s="19">
        <f t="shared" si="33"/>
        <v>536271.90176621033</v>
      </c>
      <c r="F79" s="19">
        <f t="shared" si="33"/>
        <v>546997.33980153454</v>
      </c>
      <c r="G79" s="19">
        <f t="shared" si="33"/>
        <v>557937.28659756517</v>
      </c>
      <c r="H79" s="19">
        <f t="shared" si="33"/>
        <v>569096.0323295166</v>
      </c>
      <c r="I79" s="19">
        <f t="shared" si="33"/>
        <v>580477.95297610678</v>
      </c>
      <c r="J79" s="19">
        <f t="shared" si="33"/>
        <v>592087.51203562913</v>
      </c>
      <c r="K79" s="20">
        <f t="shared" si="33"/>
        <v>603929.26227634156</v>
      </c>
      <c r="N79" s="3853"/>
      <c r="O79" s="3855"/>
      <c r="Z79" s="2807" t="s">
        <v>6774</v>
      </c>
      <c r="AA79" s="1788">
        <v>79</v>
      </c>
    </row>
    <row r="80" spans="1:27" ht="13.35" customHeight="1">
      <c r="A80" s="21" t="s">
        <v>977</v>
      </c>
      <c r="B80" s="22">
        <f t="shared" ref="B80:K80" si="34">$B$16*(1+$B$6)^(B78-1)</f>
        <v>10106.819808486374</v>
      </c>
      <c r="C80" s="22">
        <f t="shared" si="34"/>
        <v>10308.956204656102</v>
      </c>
      <c r="D80" s="22">
        <f t="shared" si="34"/>
        <v>10515.135328749224</v>
      </c>
      <c r="E80" s="22">
        <f t="shared" si="34"/>
        <v>10725.438035324207</v>
      </c>
      <c r="F80" s="22">
        <f t="shared" si="34"/>
        <v>10939.946796030692</v>
      </c>
      <c r="G80" s="22">
        <f t="shared" si="34"/>
        <v>11158.745731951305</v>
      </c>
      <c r="H80" s="22">
        <f t="shared" si="34"/>
        <v>11381.920646590332</v>
      </c>
      <c r="I80" s="22">
        <f t="shared" si="34"/>
        <v>11609.559059522137</v>
      </c>
      <c r="J80" s="22">
        <f t="shared" si="34"/>
        <v>11841.750240712583</v>
      </c>
      <c r="K80" s="23">
        <f t="shared" si="34"/>
        <v>12078.585245526832</v>
      </c>
      <c r="N80" s="3832"/>
      <c r="O80" s="3834"/>
      <c r="Z80" s="2807" t="s">
        <v>6774</v>
      </c>
      <c r="AA80" s="1788">
        <v>80</v>
      </c>
    </row>
    <row r="81" spans="1:27" ht="13.35" customHeight="1">
      <c r="A81" s="21" t="s">
        <v>2295</v>
      </c>
      <c r="B81" s="22">
        <f t="shared" ref="B81:K81" si="35">-(B79+B80)*$B$9</f>
        <v>-36081.346716296357</v>
      </c>
      <c r="C81" s="22">
        <f t="shared" si="35"/>
        <v>-36802.973650622283</v>
      </c>
      <c r="D81" s="22">
        <f t="shared" si="35"/>
        <v>-37539.033123634727</v>
      </c>
      <c r="E81" s="22">
        <f t="shared" si="35"/>
        <v>-38289.813786107421</v>
      </c>
      <c r="F81" s="22">
        <f t="shared" si="35"/>
        <v>-39055.610061829575</v>
      </c>
      <c r="G81" s="22">
        <f t="shared" si="35"/>
        <v>-39836.722263066156</v>
      </c>
      <c r="H81" s="22">
        <f t="shared" si="35"/>
        <v>-40633.456708327489</v>
      </c>
      <c r="I81" s="22">
        <f t="shared" si="35"/>
        <v>-41446.125842494024</v>
      </c>
      <c r="J81" s="22">
        <f t="shared" si="35"/>
        <v>-42275.04835934392</v>
      </c>
      <c r="K81" s="23">
        <f t="shared" si="35"/>
        <v>-43120.549326530796</v>
      </c>
      <c r="N81" s="3832"/>
      <c r="O81" s="3834"/>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2"/>
      <c r="O82" s="3834"/>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2"/>
      <c r="O83" s="3834"/>
      <c r="Z83" s="2807" t="s">
        <v>6774</v>
      </c>
      <c r="AA83" s="1787">
        <v>83</v>
      </c>
    </row>
    <row r="84" spans="1:27" ht="13.35" customHeight="1">
      <c r="A84" s="409" t="s">
        <v>4015</v>
      </c>
      <c r="B84" s="22">
        <f t="shared" ref="B84:K84" si="36">SUM(B79:B83)</f>
        <v>479366.46351650875</v>
      </c>
      <c r="C84" s="22">
        <f t="shared" si="36"/>
        <v>488953.79278683884</v>
      </c>
      <c r="D84" s="22">
        <f t="shared" si="36"/>
        <v>498732.86864257557</v>
      </c>
      <c r="E84" s="22">
        <f t="shared" si="36"/>
        <v>508707.52601542714</v>
      </c>
      <c r="F84" s="22">
        <f t="shared" si="36"/>
        <v>518881.67653573572</v>
      </c>
      <c r="G84" s="22">
        <f t="shared" si="36"/>
        <v>529259.31006645039</v>
      </c>
      <c r="H84" s="22">
        <f t="shared" si="36"/>
        <v>539844.49626777938</v>
      </c>
      <c r="I84" s="22">
        <f t="shared" si="36"/>
        <v>550641.38619313482</v>
      </c>
      <c r="J84" s="22">
        <f t="shared" si="36"/>
        <v>561654.21391699777</v>
      </c>
      <c r="K84" s="23">
        <f t="shared" si="36"/>
        <v>572887.29819533764</v>
      </c>
      <c r="N84" s="3832"/>
      <c r="O84" s="3834"/>
      <c r="Z84" s="2807" t="s">
        <v>6774</v>
      </c>
      <c r="AA84" s="1788">
        <v>84</v>
      </c>
    </row>
    <row r="85" spans="1:27" ht="13.35" customHeight="1">
      <c r="A85" s="21" t="s">
        <v>585</v>
      </c>
      <c r="B85" s="22">
        <f t="shared" ref="B85:K85" si="37">$B$21*(1+$B$7)^(B78-1)</f>
        <v>-381663.81388787105</v>
      </c>
      <c r="C85" s="22">
        <f t="shared" si="37"/>
        <v>-393113.72830450715</v>
      </c>
      <c r="D85" s="22">
        <f t="shared" si="37"/>
        <v>-404907.14015364239</v>
      </c>
      <c r="E85" s="22">
        <f t="shared" si="37"/>
        <v>-417054.35435825173</v>
      </c>
      <c r="F85" s="22">
        <f t="shared" si="37"/>
        <v>-429565.9849889992</v>
      </c>
      <c r="G85" s="22">
        <f t="shared" si="37"/>
        <v>-442452.96453866916</v>
      </c>
      <c r="H85" s="22">
        <f t="shared" si="37"/>
        <v>-455726.5534748293</v>
      </c>
      <c r="I85" s="22">
        <f t="shared" si="37"/>
        <v>-469398.35007907409</v>
      </c>
      <c r="J85" s="22">
        <f t="shared" si="37"/>
        <v>-483480.30058144632</v>
      </c>
      <c r="K85" s="23">
        <f t="shared" si="37"/>
        <v>-497984.70959888969</v>
      </c>
      <c r="N85" s="3832"/>
      <c r="O85" s="3834"/>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-41613</v>
      </c>
      <c r="C86" s="22">
        <f>IF(AND('Part VII-Pro Forma'!$G$9="Yes",'Part VII-Pro Forma'!$G$10="Yes"),"Choose One!",IF('Part VII-Pro Forma'!$G$9="Yes",ROUND((-$K$9*(1+'Part VII-Pro Forma'!$B$7)^('Part VII-Pro Forma'!C78-1)),),IF('Part VII-Pro Forma'!$G$10="Yes",ROUND((-(SUM(C79:C82)*'Part VII-Pro Forma'!$K$10)),),"Choose mgt fee")))</f>
        <v>-42861</v>
      </c>
      <c r="D86" s="22">
        <f>IF(AND('Part VII-Pro Forma'!$G$9="Yes",'Part VII-Pro Forma'!$G$10="Yes"),"Choose One!",IF('Part VII-Pro Forma'!$G$9="Yes",ROUND((-$K$9*(1+'Part VII-Pro Forma'!$B$7)^('Part VII-Pro Forma'!D78-1)),),IF('Part VII-Pro Forma'!$G$10="Yes",ROUND((-(SUM(D79:D82)*'Part VII-Pro Forma'!$K$10)),),"Choose mgt fee")))</f>
        <v>-44147</v>
      </c>
      <c r="E86" s="22">
        <f>IF(AND('Part VII-Pro Forma'!$G$9="Yes",'Part VII-Pro Forma'!$G$10="Yes"),"Choose One!",IF('Part VII-Pro Forma'!$G$9="Yes",ROUND((-$K$9*(1+'Part VII-Pro Forma'!$B$7)^('Part VII-Pro Forma'!E78-1)),),IF('Part VII-Pro Forma'!$G$10="Yes",ROUND((-(SUM(E79:E82)*'Part VII-Pro Forma'!$K$10)),),"Choose mgt fee")))</f>
        <v>-45471</v>
      </c>
      <c r="F86" s="22">
        <f>IF(AND('Part VII-Pro Forma'!$G$9="Yes",'Part VII-Pro Forma'!$G$10="Yes"),"Choose One!",IF('Part VII-Pro Forma'!$G$9="Yes",ROUND((-$K$9*(1+'Part VII-Pro Forma'!$B$7)^('Part VII-Pro Forma'!F78-1)),),IF('Part VII-Pro Forma'!$G$10="Yes",ROUND((-(SUM(F79:F82)*'Part VII-Pro Forma'!$K$10)),),"Choose mgt fee")))</f>
        <v>-46836</v>
      </c>
      <c r="G86" s="22">
        <f>IF(AND('Part VII-Pro Forma'!$G$9="Yes",'Part VII-Pro Forma'!$G$10="Yes"),"Choose One!",IF('Part VII-Pro Forma'!$G$9="Yes",ROUND((-$K$9*(1+'Part VII-Pro Forma'!$B$7)^('Part VII-Pro Forma'!G78-1)),),IF('Part VII-Pro Forma'!$G$10="Yes",ROUND((-(SUM(G79:G82)*'Part VII-Pro Forma'!$K$10)),),"Choose mgt fee")))</f>
        <v>-48241</v>
      </c>
      <c r="H86" s="22">
        <f>IF(AND('Part VII-Pro Forma'!$G$9="Yes",'Part VII-Pro Forma'!$G$10="Yes"),"Choose One!",IF('Part VII-Pro Forma'!$G$9="Yes",ROUND((-$K$9*(1+'Part VII-Pro Forma'!$B$7)^('Part VII-Pro Forma'!H78-1)),),IF('Part VII-Pro Forma'!$G$10="Yes",ROUND((-(SUM(H79:H82)*'Part VII-Pro Forma'!$K$10)),),"Choose mgt fee")))</f>
        <v>-49688</v>
      </c>
      <c r="I86" s="22">
        <f>IF(AND('Part VII-Pro Forma'!$G$9="Yes",'Part VII-Pro Forma'!$G$10="Yes"),"Choose One!",IF('Part VII-Pro Forma'!$G$9="Yes",ROUND((-$K$9*(1+'Part VII-Pro Forma'!$B$7)^('Part VII-Pro Forma'!I78-1)),),IF('Part VII-Pro Forma'!$G$10="Yes",ROUND((-(SUM(I79:I82)*'Part VII-Pro Forma'!$K$10)),),"Choose mgt fee")))</f>
        <v>-51178</v>
      </c>
      <c r="J86" s="22">
        <f>IF(AND('Part VII-Pro Forma'!$G$9="Yes",'Part VII-Pro Forma'!$G$10="Yes"),"Choose One!",IF('Part VII-Pro Forma'!$G$9="Yes",ROUND((-$K$9*(1+'Part VII-Pro Forma'!$B$7)^('Part VII-Pro Forma'!J78-1)),),IF('Part VII-Pro Forma'!$G$10="Yes",ROUND((-(SUM(J79:J82)*'Part VII-Pro Forma'!$K$10)),),"Choose mgt fee")))</f>
        <v>-52714</v>
      </c>
      <c r="K86" s="23">
        <f>IF(AND('Part VII-Pro Forma'!$G$9="Yes",'Part VII-Pro Forma'!$G$10="Yes"),"Choose One!",IF('Part VII-Pro Forma'!$G$9="Yes",ROUND((-$K$9*(1+'Part VII-Pro Forma'!$B$7)^('Part VII-Pro Forma'!K78-1)),),IF('Part VII-Pro Forma'!$G$10="Yes",ROUND((-(SUM(K79:K82)*'Part VII-Pro Forma'!$K$10)),),"Choose mgt fee")))</f>
        <v>-54295</v>
      </c>
      <c r="N86" s="3832"/>
      <c r="O86" s="3834"/>
      <c r="Z86" s="2807" t="s">
        <v>6774</v>
      </c>
      <c r="AA86" s="1788">
        <v>86</v>
      </c>
    </row>
    <row r="87" spans="1:27" ht="13.35" customHeight="1">
      <c r="A87" s="21" t="s">
        <v>1156</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32"/>
      <c r="O87" s="3834"/>
      <c r="Q87" s="847">
        <v>10</v>
      </c>
      <c r="R87" s="945">
        <f>-SUM(B93:K93)</f>
        <v>0</v>
      </c>
      <c r="S87" s="945">
        <f>SUM(B94:K94)+R87</f>
        <v>0</v>
      </c>
      <c r="Z87" s="2807" t="s">
        <v>6774</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2"/>
      <c r="O88" s="3834"/>
      <c r="Z88" s="2807" t="s">
        <v>6774</v>
      </c>
      <c r="AA88" s="1788">
        <v>88</v>
      </c>
    </row>
    <row r="89" spans="1:27" ht="13.35" customHeight="1">
      <c r="A89" s="21" t="s">
        <v>1157</v>
      </c>
      <c r="B89" s="22">
        <f t="shared" ref="B89:K89" si="39">SUM(B84:B88)</f>
        <v>34416.314812604745</v>
      </c>
      <c r="C89" s="22">
        <f t="shared" si="39"/>
        <v>30655.529621817739</v>
      </c>
      <c r="D89" s="22">
        <f t="shared" si="39"/>
        <v>26685.487582603811</v>
      </c>
      <c r="E89" s="22">
        <f t="shared" si="39"/>
        <v>22499.133523656161</v>
      </c>
      <c r="F89" s="22">
        <f t="shared" si="39"/>
        <v>18086.162269211694</v>
      </c>
      <c r="G89" s="22">
        <f t="shared" si="39"/>
        <v>13440.010371930664</v>
      </c>
      <c r="H89" s="22">
        <f t="shared" si="39"/>
        <v>8550.847582423994</v>
      </c>
      <c r="I89" s="22">
        <f t="shared" si="39"/>
        <v>3409.5680472188615</v>
      </c>
      <c r="J89" s="22">
        <f t="shared" si="39"/>
        <v>-1995.2187732956736</v>
      </c>
      <c r="K89" s="1299">
        <f t="shared" si="39"/>
        <v>-7671.1974756645795</v>
      </c>
      <c r="N89" s="3832"/>
      <c r="O89" s="3834"/>
      <c r="Z89" s="2807" t="s">
        <v>6774</v>
      </c>
      <c r="AA89" s="1788">
        <v>89</v>
      </c>
    </row>
    <row r="90" spans="1:27" ht="13.35" customHeight="1">
      <c r="A90" s="21" t="str">
        <f>$A58</f>
        <v>Mortgage A</v>
      </c>
      <c r="B90" s="2944">
        <f>IF('Part III-Sources of Funds'!$P$40="", 0,-'Part III-Sources of Funds'!$P$40)</f>
        <v>-53361.668851685332</v>
      </c>
      <c r="C90" s="2944">
        <f>IF('Part III-Sources of Funds'!$P$40="", 0,-'Part III-Sources of Funds'!$P$40)</f>
        <v>-53361.668851685332</v>
      </c>
      <c r="D90" s="2944">
        <f>IF('Part III-Sources of Funds'!$P$40="", 0,-'Part III-Sources of Funds'!$P$40)</f>
        <v>-53361.668851685332</v>
      </c>
      <c r="E90" s="2944">
        <f>IF('Part III-Sources of Funds'!$P$40="", 0,-'Part III-Sources of Funds'!$P$40)</f>
        <v>-53361.668851685332</v>
      </c>
      <c r="F90" s="2944">
        <f>IF('Part III-Sources of Funds'!$P$40="", 0,-'Part III-Sources of Funds'!$P$40)</f>
        <v>-53361.668851685332</v>
      </c>
      <c r="G90" s="2944">
        <f>IF('Part III-Sources of Funds'!$P$40="", 0,-'Part III-Sources of Funds'!$P$40)</f>
        <v>-53361.668851685332</v>
      </c>
      <c r="H90" s="2944">
        <f>IF('Part III-Sources of Funds'!$P$40="", 0,-'Part III-Sources of Funds'!$P$40)</f>
        <v>-53361.668851685332</v>
      </c>
      <c r="I90" s="2944">
        <f>IF('Part III-Sources of Funds'!$P$40="", 0,-'Part III-Sources of Funds'!$P$40)</f>
        <v>-53361.668851685332</v>
      </c>
      <c r="J90" s="2944">
        <f>IF('Part III-Sources of Funds'!$P$40="", 0,-'Part III-Sources of Funds'!$P$40)</f>
        <v>-53361.668851685332</v>
      </c>
      <c r="K90" s="2944">
        <f>IF('Part III-Sources of Funds'!$P$40="", 0,-'Part III-Sources of Funds'!$P$40)</f>
        <v>-53361.668851685332</v>
      </c>
      <c r="N90" s="3832"/>
      <c r="O90" s="3834"/>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2"/>
      <c r="O91" s="3834"/>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2"/>
      <c r="O92" s="3834"/>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2"/>
      <c r="O93" s="3834"/>
      <c r="Z93" s="2807" t="s">
        <v>6774</v>
      </c>
      <c r="AA93" s="1788">
        <v>93</v>
      </c>
    </row>
    <row r="94" spans="1:27" ht="13.35" customHeight="1">
      <c r="A94" s="21" t="s">
        <v>733</v>
      </c>
      <c r="B94" s="2946"/>
      <c r="C94" s="2946"/>
      <c r="D94" s="2946"/>
      <c r="E94" s="2946"/>
      <c r="F94" s="2946"/>
      <c r="G94" s="2946"/>
      <c r="H94" s="2946"/>
      <c r="I94" s="2946"/>
      <c r="J94" s="2946"/>
      <c r="K94" s="2946"/>
      <c r="N94" s="3832"/>
      <c r="O94" s="3834"/>
      <c r="Z94" s="2807" t="s">
        <v>6774</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2"/>
      <c r="O95" s="3834"/>
      <c r="Z95" s="2807" t="s">
        <v>6774</v>
      </c>
      <c r="AA95" s="1788">
        <v>95</v>
      </c>
    </row>
    <row r="96" spans="1:27" ht="13.35" customHeight="1">
      <c r="A96" s="21" t="s">
        <v>1122</v>
      </c>
      <c r="B96" s="22">
        <f t="shared" ref="B96:K96" si="41">SUM(B89:B95)</f>
        <v>-26445.354039080587</v>
      </c>
      <c r="C96" s="22">
        <f t="shared" si="41"/>
        <v>-30206.139229867593</v>
      </c>
      <c r="D96" s="22">
        <f t="shared" si="41"/>
        <v>-34176.18126908152</v>
      </c>
      <c r="E96" s="22">
        <f t="shared" si="41"/>
        <v>-38362.535328029175</v>
      </c>
      <c r="F96" s="22">
        <f t="shared" si="41"/>
        <v>-42775.506582473638</v>
      </c>
      <c r="G96" s="22">
        <f t="shared" si="41"/>
        <v>-47421.658479754667</v>
      </c>
      <c r="H96" s="22">
        <f t="shared" si="41"/>
        <v>-52310.821269261338</v>
      </c>
      <c r="I96" s="22">
        <f t="shared" si="41"/>
        <v>-57452.10080446647</v>
      </c>
      <c r="J96" s="22">
        <f t="shared" si="41"/>
        <v>-62856.887624981006</v>
      </c>
      <c r="K96" s="23">
        <f t="shared" si="41"/>
        <v>-68532.866327349911</v>
      </c>
      <c r="N96" s="3832"/>
      <c r="O96" s="3834"/>
      <c r="Z96" s="2807" t="s">
        <v>6774</v>
      </c>
      <c r="AA96" s="1788">
        <v>96</v>
      </c>
    </row>
    <row r="97" spans="1:27" ht="13.35" customHeight="1">
      <c r="A97" s="21" t="str">
        <f>$A66</f>
        <v>DCR Mortgage A</v>
      </c>
      <c r="B97" s="24">
        <f t="shared" ref="B97:K97" si="42">IF(B90=0,"",-B89/B90)</f>
        <v>0.6449632395917424</v>
      </c>
      <c r="C97" s="24">
        <f t="shared" si="42"/>
        <v>0.57448596120601914</v>
      </c>
      <c r="D97" s="24">
        <f t="shared" si="42"/>
        <v>0.50008720036050747</v>
      </c>
      <c r="E97" s="24">
        <f t="shared" si="42"/>
        <v>0.42163474283742469</v>
      </c>
      <c r="F97" s="24">
        <f t="shared" si="42"/>
        <v>0.33893546919382894</v>
      </c>
      <c r="G97" s="24">
        <f t="shared" si="42"/>
        <v>0.25186638014051138</v>
      </c>
      <c r="H97" s="24">
        <f t="shared" si="42"/>
        <v>0.16024325637547843</v>
      </c>
      <c r="I97" s="24">
        <f t="shared" si="42"/>
        <v>6.3895453807779029E-2</v>
      </c>
      <c r="J97" s="24">
        <f t="shared" si="42"/>
        <v>-3.7390486771342012E-2</v>
      </c>
      <c r="K97" s="25">
        <f t="shared" si="42"/>
        <v>-0.14375857503606351</v>
      </c>
      <c r="N97" s="3832"/>
      <c r="O97" s="3834"/>
      <c r="Z97" s="2807" t="s">
        <v>6774</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2"/>
      <c r="O98" s="3834"/>
      <c r="Z98" s="2807" t="s">
        <v>6774</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2"/>
      <c r="O99" s="3834"/>
      <c r="Z99" s="2807" t="s">
        <v>6774</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2"/>
      <c r="O100" s="3834"/>
      <c r="Z100" s="2807" t="s">
        <v>6774</v>
      </c>
      <c r="AA100" s="1787">
        <v>100</v>
      </c>
    </row>
    <row r="101" spans="1:27" ht="13.35" customHeight="1">
      <c r="A101" s="409" t="s">
        <v>3344</v>
      </c>
      <c r="B101" s="24">
        <f t="shared" ref="B101:K101" si="46">IF(AND(B90=0,B91=0,B92=0,B93=0),"",-B89/(B90+B91+B92+B93))</f>
        <v>0.6449632395917424</v>
      </c>
      <c r="C101" s="24">
        <f t="shared" si="46"/>
        <v>0.57448596120601914</v>
      </c>
      <c r="D101" s="24">
        <f t="shared" si="46"/>
        <v>0.50008720036050747</v>
      </c>
      <c r="E101" s="24">
        <f t="shared" si="46"/>
        <v>0.42163474283742469</v>
      </c>
      <c r="F101" s="24">
        <f t="shared" si="46"/>
        <v>0.33893546919382894</v>
      </c>
      <c r="G101" s="24">
        <f t="shared" si="46"/>
        <v>0.25186638014051138</v>
      </c>
      <c r="H101" s="24">
        <f t="shared" si="46"/>
        <v>0.16024325637547843</v>
      </c>
      <c r="I101" s="24">
        <f t="shared" si="46"/>
        <v>6.3895453807779029E-2</v>
      </c>
      <c r="J101" s="24">
        <f t="shared" si="46"/>
        <v>-3.7390486771342012E-2</v>
      </c>
      <c r="K101" s="25">
        <f t="shared" si="46"/>
        <v>-0.14375857503606351</v>
      </c>
      <c r="N101" s="3832"/>
      <c r="O101" s="3834"/>
      <c r="Z101" s="2807" t="s">
        <v>6774</v>
      </c>
      <c r="AA101" s="1788">
        <v>101</v>
      </c>
    </row>
    <row r="102" spans="1:27" ht="13.35" customHeight="1">
      <c r="A102" s="21" t="s">
        <v>740</v>
      </c>
      <c r="B102" s="263">
        <f>IF(OR(B86="Choose mgt fee",B86="Choose One!"),"",(B79+B80+B81+B82+B83) / -(B85+B86+B87))</f>
        <v>1.0773486983044192</v>
      </c>
      <c r="C102" s="263">
        <f t="shared" ref="C102:K102" si="47">IF(OR(C86="Choose mgt fee",C86="Choose One!"),"",(C79+C80+C81+C82+C83) / -(C85+C86+C87))</f>
        <v>1.0668899100993963</v>
      </c>
      <c r="D102" s="263">
        <f t="shared" si="47"/>
        <v>1.0565313751401018</v>
      </c>
      <c r="E102" s="263">
        <f t="shared" si="47"/>
        <v>1.0462746712543367</v>
      </c>
      <c r="F102" s="263">
        <f t="shared" si="47"/>
        <v>1.0361148647581262</v>
      </c>
      <c r="G102" s="263">
        <f t="shared" si="47"/>
        <v>1.0260556562732146</v>
      </c>
      <c r="H102" s="263">
        <f t="shared" si="47"/>
        <v>1.0160943907452731</v>
      </c>
      <c r="I102" s="263">
        <f t="shared" si="47"/>
        <v>1.0062305734684267</v>
      </c>
      <c r="J102" s="263">
        <f t="shared" si="47"/>
        <v>0.99646017780276541</v>
      </c>
      <c r="K102" s="264">
        <f t="shared" si="47"/>
        <v>0.98678652102610565</v>
      </c>
      <c r="N102" s="3832"/>
      <c r="O102" s="3834"/>
      <c r="Z102" s="2807" t="s">
        <v>6774</v>
      </c>
      <c r="AA102" s="1788">
        <v>102</v>
      </c>
    </row>
    <row r="103" spans="1:27" ht="13.35" customHeight="1">
      <c r="A103" s="409" t="s">
        <v>2493</v>
      </c>
      <c r="B103" s="2949">
        <f>IF('Part III-Sources of Funds'!$I$40="","",-FV('Part III-Sources of Funds'!$K$40/12,12,B90/12,K72))</f>
        <v>-661159.97437397356</v>
      </c>
      <c r="C103" s="2949">
        <f>IF('Part III-Sources of Funds'!$I$40="","",-FV('Part III-Sources of Funds'!$K$40/12,12,C90/12,B103))</f>
        <v>-729336.58413395705</v>
      </c>
      <c r="D103" s="2949">
        <f>IF('Part III-Sources of Funds'!$I$40="","",-FV('Part III-Sources of Funds'!$K$40/12,12,D90/12,C103))</f>
        <v>-798986.5689077999</v>
      </c>
      <c r="E103" s="2949">
        <f>IF('Part III-Sources of Funds'!$I$40="","",-FV('Part III-Sources of Funds'!$K$40/12,12,E90/12,D103))</f>
        <v>-870141.77002552885</v>
      </c>
      <c r="F103" s="2949">
        <f>IF('Part III-Sources of Funds'!$I$40="","",-FV('Part III-Sources of Funds'!$K$40/12,12,F90/12,E103))</f>
        <v>-942834.71694496437</v>
      </c>
      <c r="G103" s="2949">
        <f>IF('Part III-Sources of Funds'!$I$40="","",-FV('Part III-Sources of Funds'!$K$40/12,12,G90/12,F103))</f>
        <v>-1017098.6421229546</v>
      </c>
      <c r="H103" s="2949">
        <f>IF('Part III-Sources of Funds'!$I$40="","",-FV('Part III-Sources of Funds'!$K$40/12,12,H90/12,G103))</f>
        <v>-1092967.4962079937</v>
      </c>
      <c r="I103" s="2949">
        <f>IF('Part III-Sources of Funds'!$I$40="","",-FV('Part III-Sources of Funds'!$K$40/12,12,I90/12,H103))</f>
        <v>-1170475.9635611693</v>
      </c>
      <c r="J103" s="2949">
        <f>IF('Part III-Sources of Funds'!$I$40="","",-FV('Part III-Sources of Funds'!$K$40/12,12,J90/12,I103))</f>
        <v>-1249659.4781125372</v>
      </c>
      <c r="K103" s="2949">
        <f>IF('Part III-Sources of Funds'!$I$40="","",-FV('Part III-Sources of Funds'!$K$40/12,12,K90/12,J103))</f>
        <v>-1330554.2395601689</v>
      </c>
      <c r="N103" s="3832"/>
      <c r="O103" s="3834"/>
      <c r="Z103" s="2807" t="s">
        <v>6774</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2"/>
      <c r="O104" s="3834"/>
      <c r="Z104" s="2807" t="s">
        <v>6774</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2"/>
      <c r="O105" s="3834"/>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38"/>
      <c r="O106" s="3840"/>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8" t="s">
        <v>3335</v>
      </c>
      <c r="O108" s="3528"/>
      <c r="AA108" s="1788">
        <v>108</v>
      </c>
    </row>
    <row r="109" spans="1:27" ht="13.35" customHeight="1">
      <c r="A109" s="18" t="s">
        <v>2294</v>
      </c>
      <c r="B109" s="19">
        <f>$B$15*(1+$B$6)^(B108-1)</f>
        <v>616007.84752186842</v>
      </c>
      <c r="C109" s="19">
        <f>$B$15*(1+$B$6)^(C108-1)</f>
        <v>628328.00447230565</v>
      </c>
      <c r="D109" s="19">
        <f>$B$15*(1+$B$6)^(D108-1)</f>
        <v>640894.5645617519</v>
      </c>
      <c r="E109" s="19">
        <f>$B$15*(1+$B$6)^(E108-1)</f>
        <v>653712.45585298701</v>
      </c>
      <c r="F109" s="566">
        <f>$B$15*(1+$B$6)^(F108-1)</f>
        <v>666786.70497004665</v>
      </c>
      <c r="G109" s="17"/>
      <c r="H109" s="17"/>
      <c r="I109" s="17"/>
      <c r="J109" s="17"/>
      <c r="K109" s="17"/>
      <c r="N109" s="3853"/>
      <c r="O109" s="3855"/>
      <c r="Z109" s="2807" t="s">
        <v>6775</v>
      </c>
      <c r="AA109" s="1787">
        <v>109</v>
      </c>
    </row>
    <row r="110" spans="1:27" ht="13.35" customHeight="1">
      <c r="A110" s="21" t="s">
        <v>977</v>
      </c>
      <c r="B110" s="22">
        <f>$B$16*(1+$B$6)^(B108-1)</f>
        <v>12320.156950437369</v>
      </c>
      <c r="C110" s="22">
        <f>$B$16*(1+$B$6)^(C108-1)</f>
        <v>12566.560089446115</v>
      </c>
      <c r="D110" s="22">
        <f>$B$16*(1+$B$6)^(D108-1)</f>
        <v>12817.891291235039</v>
      </c>
      <c r="E110" s="22">
        <f>$B$16*(1+$B$6)^(E108-1)</f>
        <v>13074.24911705974</v>
      </c>
      <c r="F110" s="23">
        <f>$B$16*(1+$B$6)^(F108-1)</f>
        <v>13335.734099400934</v>
      </c>
      <c r="G110" s="17"/>
      <c r="H110" s="17"/>
      <c r="I110" s="17"/>
      <c r="J110" s="17"/>
      <c r="K110" s="17"/>
      <c r="N110" s="3832"/>
      <c r="O110" s="3834"/>
      <c r="Z110" s="2807" t="s">
        <v>6775</v>
      </c>
      <c r="AA110" s="1788">
        <v>110</v>
      </c>
    </row>
    <row r="111" spans="1:27" ht="13.35" customHeight="1">
      <c r="A111" s="21" t="s">
        <v>2295</v>
      </c>
      <c r="B111" s="22">
        <f>-(B109+B110)*$B$9</f>
        <v>-43982.960313061405</v>
      </c>
      <c r="C111" s="22">
        <f>-(C109+C110)*$B$9</f>
        <v>-44862.61951932263</v>
      </c>
      <c r="D111" s="22">
        <f>-(D109+D110)*$B$9</f>
        <v>-45759.871909709087</v>
      </c>
      <c r="E111" s="22">
        <f>-(E109+E110)*$B$9</f>
        <v>-46675.069347903278</v>
      </c>
      <c r="F111" s="23">
        <f>-(F109+F110)*$B$9</f>
        <v>-47608.570734861336</v>
      </c>
      <c r="G111" s="17"/>
      <c r="H111" s="17"/>
      <c r="I111" s="17"/>
      <c r="J111" s="17"/>
      <c r="K111" s="17"/>
      <c r="N111" s="3832"/>
      <c r="O111" s="3834"/>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2"/>
      <c r="O112" s="3834"/>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2"/>
      <c r="O113" s="3834"/>
      <c r="Z113" s="2807" t="s">
        <v>6775</v>
      </c>
      <c r="AA113" s="1788">
        <v>113</v>
      </c>
    </row>
    <row r="114" spans="1:27" ht="13.35" customHeight="1">
      <c r="A114" s="409" t="s">
        <v>4015</v>
      </c>
      <c r="B114" s="22">
        <f>SUM(B109:B113)</f>
        <v>584345.0441592444</v>
      </c>
      <c r="C114" s="22">
        <f>SUM(C109:C113)</f>
        <v>596031.94504242914</v>
      </c>
      <c r="D114" s="22">
        <f>SUM(D109:D113)</f>
        <v>607952.58394327783</v>
      </c>
      <c r="E114" s="22">
        <f>SUM(E109:E113)</f>
        <v>620111.63562214351</v>
      </c>
      <c r="F114" s="23">
        <f>SUM(F109:F113)</f>
        <v>632513.86833458627</v>
      </c>
      <c r="G114" s="17"/>
      <c r="H114" s="17"/>
      <c r="I114" s="17"/>
      <c r="J114" s="17"/>
      <c r="K114" s="17"/>
      <c r="N114" s="3832"/>
      <c r="O114" s="3834"/>
      <c r="Z114" s="2807" t="s">
        <v>6775</v>
      </c>
      <c r="AA114" s="1788">
        <v>114</v>
      </c>
    </row>
    <row r="115" spans="1:27" ht="13.35" customHeight="1">
      <c r="A115" s="21" t="s">
        <v>585</v>
      </c>
      <c r="B115" s="22">
        <f>$B$21*(1+$B$7)^(B108-1)</f>
        <v>-512924.2508868564</v>
      </c>
      <c r="C115" s="22">
        <f>$B$21*(1+$B$7)^(C108-1)</f>
        <v>-528311.97841346217</v>
      </c>
      <c r="D115" s="22">
        <f>$B$21*(1+$B$7)^(D108-1)</f>
        <v>-544161.33776586596</v>
      </c>
      <c r="E115" s="22">
        <f>$B$21*(1+$B$7)^(E108-1)</f>
        <v>-560486.17789884191</v>
      </c>
      <c r="F115" s="23">
        <f>$B$21*(1+$B$7)^(F108-1)</f>
        <v>-577300.76323580707</v>
      </c>
      <c r="G115" s="17"/>
      <c r="H115" s="17"/>
      <c r="I115" s="17"/>
      <c r="J115" s="17"/>
      <c r="K115" s="17"/>
      <c r="N115" s="3832"/>
      <c r="O115" s="3834"/>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-55924</v>
      </c>
      <c r="C116" s="22">
        <f>IF(AND('Part VII-Pro Forma'!$G$9="Yes",'Part VII-Pro Forma'!$G$10="Yes"),"Choose One!",IF('Part VII-Pro Forma'!$G$9="Yes",ROUND((-$K$9*(1+'Part VII-Pro Forma'!$B$7)^('Part VII-Pro Forma'!C108-1)),),IF('Part VII-Pro Forma'!$G$10="Yes",ROUND((-(SUM(C109:C112)*'Part VII-Pro Forma'!$K$10)),),"Choose mgt fee")))</f>
        <v>-57602</v>
      </c>
      <c r="D116" s="22">
        <f>IF(AND('Part VII-Pro Forma'!$G$9="Yes",'Part VII-Pro Forma'!$G$10="Yes"),"Choose One!",IF('Part VII-Pro Forma'!$G$9="Yes",ROUND((-$K$9*(1+'Part VII-Pro Forma'!$B$7)^('Part VII-Pro Forma'!D108-1)),),IF('Part VII-Pro Forma'!$G$10="Yes",ROUND((-(SUM(D109:D112)*'Part VII-Pro Forma'!$K$10)),),"Choose mgt fee")))</f>
        <v>-59330</v>
      </c>
      <c r="E116" s="22">
        <f>IF(AND('Part VII-Pro Forma'!$G$9="Yes",'Part VII-Pro Forma'!$G$10="Yes"),"Choose One!",IF('Part VII-Pro Forma'!$G$9="Yes",ROUND((-$K$9*(1+'Part VII-Pro Forma'!$B$7)^('Part VII-Pro Forma'!E108-1)),),IF('Part VII-Pro Forma'!$G$10="Yes",ROUND((-(SUM(E109:E112)*'Part VII-Pro Forma'!$K$10)),),"Choose mgt fee")))</f>
        <v>-61110</v>
      </c>
      <c r="F116" s="23">
        <f>IF(AND('Part VII-Pro Forma'!$G$9="Yes",'Part VII-Pro Forma'!$G$10="Yes"),"Choose One!",IF('Part VII-Pro Forma'!$G$9="Yes",ROUND((-$K$9*(1+'Part VII-Pro Forma'!$B$7)^('Part VII-Pro Forma'!F108-1)),),IF('Part VII-Pro Forma'!$G$10="Yes",ROUND((-(SUM(F109:F112)*'Part VII-Pro Forma'!$K$10)),),"Choose mgt fee")))</f>
        <v>-62943</v>
      </c>
      <c r="G116" s="17"/>
      <c r="H116" s="17"/>
      <c r="I116" s="17"/>
      <c r="J116" s="17"/>
      <c r="K116" s="17"/>
      <c r="N116" s="3832"/>
      <c r="O116" s="3834"/>
      <c r="Z116" s="2807" t="s">
        <v>6775</v>
      </c>
      <c r="AA116" s="1788">
        <v>116</v>
      </c>
    </row>
    <row r="117" spans="1:27" ht="13.35" customHeight="1">
      <c r="A117" s="21" t="s">
        <v>1156</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32"/>
      <c r="O117" s="3834"/>
      <c r="Q117" s="847">
        <v>10</v>
      </c>
      <c r="R117" s="945">
        <f>-SUM(B123:K123)</f>
        <v>0</v>
      </c>
      <c r="S117" s="945">
        <f>SUM(B124:K124)+R117</f>
        <v>0</v>
      </c>
      <c r="Z117" s="2807" t="s">
        <v>6775</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2"/>
      <c r="O118" s="3834"/>
      <c r="Z118" s="2807" t="s">
        <v>6775</v>
      </c>
      <c r="AA118" s="1787">
        <v>118</v>
      </c>
    </row>
    <row r="119" spans="1:27" ht="13.35" customHeight="1">
      <c r="A119" s="21" t="s">
        <v>1157</v>
      </c>
      <c r="B119" s="22">
        <f>SUM(B114:B118)</f>
        <v>-13630.356381887916</v>
      </c>
      <c r="C119" s="22">
        <f>SUM(C114:C118)</f>
        <v>-19882.997514937222</v>
      </c>
      <c r="D119" s="22">
        <f>SUM(D114:D118)</f>
        <v>-26439.746890809442</v>
      </c>
      <c r="E119" s="22">
        <f>SUM(E114:E118)</f>
        <v>-33312.565136966354</v>
      </c>
      <c r="F119" s="1299">
        <f>SUM(F114:F118)</f>
        <v>-40512.758447296786</v>
      </c>
      <c r="G119" s="17"/>
      <c r="H119" s="17"/>
      <c r="I119" s="17"/>
      <c r="J119" s="17"/>
      <c r="K119" s="17"/>
      <c r="N119" s="3832"/>
      <c r="O119" s="3834"/>
      <c r="Z119" s="2807" t="s">
        <v>6775</v>
      </c>
      <c r="AA119" s="1788">
        <v>119</v>
      </c>
    </row>
    <row r="120" spans="1:27" ht="13.35" customHeight="1">
      <c r="A120" s="21" t="str">
        <f>$A90</f>
        <v>Mortgage A</v>
      </c>
      <c r="B120" s="2944">
        <f>IF('Part III-Sources of Funds'!$P$40="", 0,-'Part III-Sources of Funds'!$P$40)</f>
        <v>-53361.668851685332</v>
      </c>
      <c r="C120" s="2944">
        <f>IF('Part III-Sources of Funds'!$P$40="", 0,-'Part III-Sources of Funds'!$P$40)</f>
        <v>-53361.668851685332</v>
      </c>
      <c r="D120" s="2944">
        <f>IF('Part III-Sources of Funds'!$P$40="", 0,-'Part III-Sources of Funds'!$P$40)</f>
        <v>-53361.668851685332</v>
      </c>
      <c r="E120" s="2944">
        <f>IF('Part III-Sources of Funds'!$P$40="", 0,-'Part III-Sources of Funds'!$P$40)</f>
        <v>-53361.668851685332</v>
      </c>
      <c r="F120" s="2944">
        <f>IF('Part III-Sources of Funds'!$P$40="", 0,-'Part III-Sources of Funds'!$P$40)</f>
        <v>-53361.668851685332</v>
      </c>
      <c r="G120" s="17"/>
      <c r="H120" s="17"/>
      <c r="I120" s="17"/>
      <c r="J120" s="17"/>
      <c r="K120" s="17"/>
      <c r="N120" s="3832"/>
      <c r="O120" s="3834"/>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2"/>
      <c r="O121" s="3834"/>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2"/>
      <c r="O122" s="3834"/>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2"/>
      <c r="O123" s="3834"/>
      <c r="Z123" s="2807" t="s">
        <v>6775</v>
      </c>
      <c r="AA123" s="1787">
        <v>123</v>
      </c>
    </row>
    <row r="124" spans="1:27" ht="13.35" customHeight="1">
      <c r="A124" s="21" t="s">
        <v>733</v>
      </c>
      <c r="B124" s="2946"/>
      <c r="C124" s="2946"/>
      <c r="D124" s="2946"/>
      <c r="E124" s="2946"/>
      <c r="F124" s="2946"/>
      <c r="G124" s="17"/>
      <c r="H124" s="17"/>
      <c r="I124" s="17"/>
      <c r="J124" s="17"/>
      <c r="K124" s="17"/>
      <c r="N124" s="3832"/>
      <c r="O124" s="3834"/>
      <c r="Z124" s="2807" t="s">
        <v>6775</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2"/>
      <c r="O125" s="3834"/>
      <c r="Z125" s="2807" t="s">
        <v>6775</v>
      </c>
      <c r="AA125" s="1788">
        <v>125</v>
      </c>
    </row>
    <row r="126" spans="1:27" ht="13.35" customHeight="1">
      <c r="A126" s="21" t="s">
        <v>1122</v>
      </c>
      <c r="B126" s="22">
        <f>SUM(B119:B125)</f>
        <v>-74492.025233573251</v>
      </c>
      <c r="C126" s="22">
        <f>SUM(C119:C125)</f>
        <v>-80744.66636662255</v>
      </c>
      <c r="D126" s="22">
        <f>SUM(D119:D125)</f>
        <v>-87301.415742494777</v>
      </c>
      <c r="E126" s="22">
        <f>SUM(E119:E125)</f>
        <v>-94174.233988651686</v>
      </c>
      <c r="F126" s="23">
        <f>SUM(F119:F125)</f>
        <v>-101374.42729898212</v>
      </c>
      <c r="G126" s="17"/>
      <c r="H126" s="17"/>
      <c r="I126" s="17"/>
      <c r="J126" s="17"/>
      <c r="K126" s="17"/>
      <c r="N126" s="3832"/>
      <c r="O126" s="3834"/>
      <c r="Z126" s="2807" t="s">
        <v>6775</v>
      </c>
      <c r="AA126" s="1788">
        <v>126</v>
      </c>
    </row>
    <row r="127" spans="1:27" ht="13.35" customHeight="1">
      <c r="A127" s="21" t="str">
        <f>$A97</f>
        <v>DCR Mortgage A</v>
      </c>
      <c r="B127" s="24">
        <f>IF(B120=0,"",-B119/B120)</f>
        <v>-0.25543347266316663</v>
      </c>
      <c r="C127" s="24">
        <f>IF(C120=0,"",-C119/C120)</f>
        <v>-0.37260824001214221</v>
      </c>
      <c r="D127" s="24">
        <f>IF(D120=0,"",-D119/D120)</f>
        <v>-0.49548200908589818</v>
      </c>
      <c r="E127" s="24">
        <f>IF(E120=0,"",-E119/E120)</f>
        <v>-0.62427892256436124</v>
      </c>
      <c r="F127" s="25">
        <f>IF(F120=0,"",-F119/F120)</f>
        <v>-0.75921085901377805</v>
      </c>
      <c r="G127" s="17"/>
      <c r="H127" s="17"/>
      <c r="I127" s="17"/>
      <c r="J127" s="17"/>
      <c r="K127" s="17"/>
      <c r="N127" s="3832"/>
      <c r="O127" s="3834"/>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2"/>
      <c r="O128" s="3834"/>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2"/>
      <c r="O129" s="3834"/>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2"/>
      <c r="O130" s="3834"/>
      <c r="Z130" s="2807" t="s">
        <v>6775</v>
      </c>
      <c r="AA130" s="1788">
        <v>130</v>
      </c>
    </row>
    <row r="131" spans="1:27" ht="13.35" customHeight="1">
      <c r="A131" s="409" t="s">
        <v>3344</v>
      </c>
      <c r="B131" s="24">
        <f>IF(AND(B120=0,B121=0,B122=0,B123=0),"",-B119/(B120+B121+B122+B123))</f>
        <v>-0.25543347266316663</v>
      </c>
      <c r="C131" s="24">
        <f>IF(AND(C120=0,C121=0,C122=0,C123=0),"",-C119/(C120+C121+C122+C123))</f>
        <v>-0.37260824001214221</v>
      </c>
      <c r="D131" s="24">
        <f>IF(AND(D120=0,D121=0,D122=0,D123=0),"",-D119/(D120+D121+D122+D123))</f>
        <v>-0.49548200908589818</v>
      </c>
      <c r="E131" s="24">
        <f>IF(AND(E120=0,E121=0,E122=0,E123=0),"",-E119/(E120+E121+E122+E123))</f>
        <v>-0.62427892256436124</v>
      </c>
      <c r="F131" s="25">
        <f>IF(AND(F120=0,F121=0,F122=0,F123=0),"",-F119/(F120+F121+F122+F123))</f>
        <v>-0.75921085901377805</v>
      </c>
      <c r="G131" s="17"/>
      <c r="H131" s="17"/>
      <c r="I131" s="17"/>
      <c r="J131" s="17"/>
      <c r="K131" s="17"/>
      <c r="N131" s="3832"/>
      <c r="O131" s="3834"/>
      <c r="Z131" s="2807" t="s">
        <v>6775</v>
      </c>
      <c r="AA131" s="1788">
        <v>131</v>
      </c>
    </row>
    <row r="132" spans="1:27" ht="13.35" customHeight="1">
      <c r="A132" s="21" t="s">
        <v>740</v>
      </c>
      <c r="B132" s="263">
        <f>IF(OR(B116="Choose mgt fee",B116="Choose One!"),"",(B109+B110+B111+B112+B113) / -(B115+B116+B117))</f>
        <v>0.97720582423699509</v>
      </c>
      <c r="C132" s="263">
        <f>IF(OR(C116="Choose mgt fee",C116="Choose One!"),"",(C109+C110+C111+C112+C113) / -(C115+C116+C117))</f>
        <v>0.96771794911748665</v>
      </c>
      <c r="D132" s="263">
        <f>IF(OR(D116="Choose mgt fee",D116="Choose One!"),"",(D109+D110+D111+D112+D113) / -(D115+D116+D117))</f>
        <v>0.95832271986004791</v>
      </c>
      <c r="E132" s="263">
        <f>IF(OR(E116="Choose mgt fee",E116="Choose One!"),"",(E109+E110+E111+E112+E113) / -(E115+E116+E117))</f>
        <v>0.94901847054598576</v>
      </c>
      <c r="F132" s="567">
        <f>IF(OR(F116="Choose mgt fee",F116="Choose One!"),"",(F109+F110+F111+F112+F113) / -(F115+F116+F117))</f>
        <v>0.93980511790297072</v>
      </c>
      <c r="G132" s="17"/>
      <c r="H132" s="17"/>
      <c r="I132" s="17"/>
      <c r="J132" s="17"/>
      <c r="K132" s="17"/>
      <c r="N132" s="3832"/>
      <c r="O132" s="3834"/>
      <c r="Z132" s="2807" t="s">
        <v>6775</v>
      </c>
      <c r="AA132" s="1787">
        <v>132</v>
      </c>
    </row>
    <row r="133" spans="1:27" ht="13.35" customHeight="1">
      <c r="A133" s="409" t="s">
        <v>2493</v>
      </c>
      <c r="B133" s="2949">
        <f>IF('Part III-Sources of Funds'!$I$40="","",-FV('Part III-Sources of Funds'!$K$40/12,12,B120/12,K103))</f>
        <v>-1413197.2299192802</v>
      </c>
      <c r="C133" s="2949">
        <f>IF('Part III-Sources of Funds'!$I$40="","",-FV('Part III-Sources of Funds'!$K$40/12,12,C120/12,B133))</f>
        <v>-1497626.2304290046</v>
      </c>
      <c r="D133" s="2949">
        <f>IF('Part III-Sources of Funds'!$I$40="","",-FV('Part III-Sources of Funds'!$K$40/12,12,D120/12,C133))</f>
        <v>-1583879.8388245436</v>
      </c>
      <c r="E133" s="2949">
        <f>IF('Part III-Sources of Funds'!$I$40="","",-FV('Part III-Sources of Funds'!$K$40/12,12,E120/12,D133))</f>
        <v>-1671997.4869825847</v>
      </c>
      <c r="F133" s="2949">
        <f>IF('Part III-Sources of Funds'!$I$40="","",-FV('Part III-Sources of Funds'!$K$40/12,12,F120/12,E133))</f>
        <v>-1762019.4589480602</v>
      </c>
      <c r="G133" s="17"/>
      <c r="H133" s="17"/>
      <c r="I133" s="17"/>
      <c r="J133" s="17"/>
      <c r="K133" s="17"/>
      <c r="N133" s="3832"/>
      <c r="O133" s="3834"/>
      <c r="Z133" s="2807" t="s">
        <v>6775</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2"/>
      <c r="O134" s="3834"/>
      <c r="Z134" s="2807" t="s">
        <v>6775</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2"/>
      <c r="O135" s="3834"/>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38"/>
      <c r="O136" s="3840"/>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8" t="s">
        <v>3208</v>
      </c>
      <c r="B140" s="3934"/>
      <c r="C140" s="3934"/>
      <c r="D140" s="3934"/>
      <c r="E140" s="3934"/>
      <c r="F140" s="3935"/>
      <c r="G140" s="3936"/>
      <c r="H140" s="3937"/>
      <c r="I140" s="3937"/>
      <c r="J140" s="3937"/>
      <c r="K140" s="3938"/>
      <c r="N140" s="3469" t="s">
        <v>2542</v>
      </c>
      <c r="O140" s="346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MjBPkUaKGE11ijh4DZLnU7PwWAE3CTHEx9xUiRQUmgFKxW2BXAkCC94qpRHYXLMyi3Bkl52CLMitHvk39tMedg==" saltValue="1W/vvAcDbHibsgy897AJP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38" priority="11">
      <formula>$G$7&lt;$G$6</formula>
    </cfRule>
  </conditionalFormatting>
  <conditionalFormatting sqref="A31">
    <cfRule type="expression" dxfId="37" priority="10">
      <formula>"or(B28&lt;$G$6,C28&lt;$G$6,D28&lt;$G$6,E28&lt;$G$6,F28&lt;$G$6,G28&lt;$G$6,H28&lt;$G$6,I28&lt;$G$6,J28&lt;$G$6,K28&lt;$G$6,)"</formula>
    </cfRule>
  </conditionalFormatting>
  <conditionalFormatting sqref="A63">
    <cfRule type="expression" dxfId="36" priority="7">
      <formula>"or(B28&lt;$G$6,C28&lt;$G$6,D28&lt;$G$6,E28&lt;$G$6,F28&lt;$G$6,G28&lt;$G$6,H28&lt;$G$6,I28&lt;$G$6,J28&lt;$G$6,K28&lt;$G$6,)"</formula>
    </cfRule>
  </conditionalFormatting>
  <conditionalFormatting sqref="A95">
    <cfRule type="expression" dxfId="35" priority="6">
      <formula>"or(B28&lt;$G$6,C28&lt;$G$6,D28&lt;$G$6,E28&lt;$G$6,F28&lt;$G$6,G28&lt;$G$6,H28&lt;$G$6,I28&lt;$G$6,J28&lt;$G$6,K28&lt;$G$6,)"</formula>
    </cfRule>
  </conditionalFormatting>
  <conditionalFormatting sqref="A24">
    <cfRule type="expression" dxfId="34" priority="5">
      <formula>"or(B28&lt;$G$6,C28&lt;$G$6,D28&lt;$G$6,E28&lt;$G$6,F28&lt;$G$6,G28&lt;$G$6,H28&lt;$G$6,I28&lt;$G$6,J28&lt;$G$6,K28&lt;$G$6,)"</formula>
    </cfRule>
  </conditionalFormatting>
  <conditionalFormatting sqref="A56">
    <cfRule type="expression" dxfId="33" priority="4">
      <formula>"or(B28&lt;$G$6,C28&lt;$G$6,D28&lt;$G$6,E28&lt;$G$6,F28&lt;$G$6,G28&lt;$G$6,H28&lt;$G$6,I28&lt;$G$6,J28&lt;$G$6,K28&lt;$G$6,)"</formula>
    </cfRule>
  </conditionalFormatting>
  <conditionalFormatting sqref="A88">
    <cfRule type="expression" dxfId="32" priority="3">
      <formula>"or(B28&lt;$G$6,C28&lt;$G$6,D28&lt;$G$6,E28&lt;$G$6,F28&lt;$G$6,G28&lt;$G$6,H28&lt;$G$6,I28&lt;$G$6,J28&lt;$G$6,K28&lt;$G$6,)"</formula>
    </cfRule>
  </conditionalFormatting>
  <conditionalFormatting sqref="A118">
    <cfRule type="expression" dxfId="31"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D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4" zoomScale="110" zoomScaleNormal="110" workbookViewId="0">
      <selection activeCell="A465"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2" t="str">
        <f>CONCATENATE("PART EIGHT - THRESHOLD CRITERIA","  -  ",'Part I-Project Information'!$O$7," ",'Part I-Project Information'!$F$35,", ",'Part I-Project Information'!F39,", ",'Part I-Project Information'!J40," County")</f>
        <v>PART EIGHT - THRESHOLD CRITERIA  -  2021-014 Dunbar Court, Byron, Peach County</v>
      </c>
      <c r="B1" s="3593"/>
      <c r="C1" s="3593"/>
      <c r="D1" s="3593"/>
      <c r="E1" s="3593"/>
      <c r="F1" s="3593"/>
      <c r="G1" s="3593"/>
      <c r="H1" s="3593"/>
      <c r="I1" s="3593"/>
      <c r="J1" s="3593"/>
      <c r="K1" s="3593"/>
      <c r="L1" s="3593"/>
      <c r="M1" s="3593"/>
      <c r="N1" s="3593"/>
      <c r="O1" s="3593"/>
      <c r="P1" s="3593"/>
      <c r="Q1" s="3593"/>
      <c r="R1" s="4063" t="str">
        <f>'Part I-Project Information'!$B$7</f>
        <v>2021 Core Application</v>
      </c>
      <c r="S1" s="4063"/>
    </row>
    <row r="2" spans="1:32" s="27" customFormat="1" ht="3" customHeight="1">
      <c r="R2" s="4063"/>
      <c r="S2" s="4063"/>
      <c r="AE2" s="115"/>
      <c r="AF2" s="115"/>
    </row>
    <row r="3" spans="1:32" ht="13.5" customHeight="1">
      <c r="A3" s="40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6"/>
      <c r="C3" s="4046"/>
      <c r="D3" s="4046"/>
      <c r="E3" s="4046"/>
      <c r="F3" s="4046"/>
      <c r="G3" s="4046"/>
      <c r="H3" s="40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6"/>
      <c r="J3" s="4046"/>
      <c r="K3" s="4046"/>
      <c r="L3" s="4046"/>
      <c r="M3" s="4046"/>
      <c r="N3" s="4047"/>
      <c r="O3" s="4048" t="s">
        <v>900</v>
      </c>
      <c r="P3" s="4049"/>
      <c r="Q3" s="2950" t="s">
        <v>1758</v>
      </c>
      <c r="R3" s="4063"/>
      <c r="S3" s="4063"/>
    </row>
    <row r="4" spans="1:32" ht="3" customHeight="1">
      <c r="A4" s="1401"/>
      <c r="B4" s="4050"/>
      <c r="C4" s="4050"/>
      <c r="D4" s="4050"/>
      <c r="E4" s="1401"/>
      <c r="F4" s="1401"/>
      <c r="G4" s="1401"/>
      <c r="H4" s="1401"/>
      <c r="I4" s="1401"/>
      <c r="J4" s="1401"/>
      <c r="K4" s="1401"/>
      <c r="L4" s="1401"/>
      <c r="M4" s="1401"/>
      <c r="N4" s="1401"/>
      <c r="P4" s="1401"/>
      <c r="Q4" s="1401"/>
      <c r="R4" s="4063"/>
      <c r="S4" s="4063"/>
    </row>
    <row r="5" spans="1:32" ht="11.1" hidden="1" customHeight="1">
      <c r="A5" s="1401"/>
      <c r="B5" s="1401"/>
      <c r="C5" s="1401"/>
      <c r="D5" s="1401"/>
      <c r="E5" s="1401"/>
      <c r="F5" s="1401"/>
      <c r="G5" s="1401"/>
      <c r="H5" s="1401"/>
      <c r="I5" s="1401"/>
      <c r="J5" s="1401"/>
      <c r="K5" s="1401"/>
      <c r="L5" s="1401"/>
      <c r="M5" s="1401"/>
      <c r="N5" s="1401"/>
      <c r="P5" s="1401"/>
      <c r="Q5" s="1401"/>
      <c r="R5" s="4063"/>
      <c r="S5" s="4063"/>
    </row>
    <row r="6" spans="1:32" ht="17.25" customHeight="1">
      <c r="A6" s="124" t="s">
        <v>538</v>
      </c>
      <c r="J6" s="4053" t="s">
        <v>3417</v>
      </c>
      <c r="K6" s="4053"/>
      <c r="L6" s="4053"/>
      <c r="M6" s="4053"/>
      <c r="N6" s="4053"/>
      <c r="O6" s="4054"/>
      <c r="P6" s="4051"/>
      <c r="Q6" s="4052"/>
      <c r="R6" s="4063"/>
      <c r="S6" s="4063"/>
    </row>
    <row r="7" spans="1:32" ht="12.6" customHeight="1">
      <c r="A7" s="125" t="s">
        <v>3187</v>
      </c>
      <c r="C7" s="126"/>
      <c r="D7" s="126"/>
      <c r="H7" s="1069"/>
      <c r="I7" s="1069"/>
      <c r="J7" s="1069"/>
      <c r="K7" s="1069"/>
      <c r="L7" s="1069"/>
      <c r="M7" s="1401"/>
      <c r="N7" s="1401"/>
    </row>
    <row r="8" spans="1:32" ht="24.6" customHeight="1">
      <c r="A8" s="4055" t="s">
        <v>1358</v>
      </c>
      <c r="B8" s="4056"/>
      <c r="C8" s="4056"/>
      <c r="D8" s="4056"/>
      <c r="E8" s="4056"/>
      <c r="F8" s="4056"/>
      <c r="G8" s="4056"/>
      <c r="H8" s="4056"/>
      <c r="I8" s="4056"/>
      <c r="J8" s="4056"/>
      <c r="K8" s="4056"/>
      <c r="L8" s="4056"/>
      <c r="M8" s="4056"/>
      <c r="N8" s="4056"/>
      <c r="O8" s="4056"/>
      <c r="P8" s="4056"/>
      <c r="Q8" s="4057"/>
      <c r="R8" s="3857" t="s">
        <v>1940</v>
      </c>
      <c r="S8" s="3132"/>
    </row>
    <row r="9" spans="1:32" ht="24.6" customHeight="1">
      <c r="A9" s="4013" t="s">
        <v>217</v>
      </c>
      <c r="B9" s="4014"/>
      <c r="C9" s="4014"/>
      <c r="D9" s="4014"/>
      <c r="E9" s="4014"/>
      <c r="F9" s="4014"/>
      <c r="G9" s="4014"/>
      <c r="H9" s="4014"/>
      <c r="I9" s="4014"/>
      <c r="J9" s="4014"/>
      <c r="K9" s="4014"/>
      <c r="L9" s="4014"/>
      <c r="M9" s="4014"/>
      <c r="N9" s="4014"/>
      <c r="O9" s="4014"/>
      <c r="P9" s="4014"/>
      <c r="Q9" s="4015"/>
      <c r="R9" s="3857"/>
      <c r="S9" s="3132"/>
    </row>
    <row r="10" spans="1:32" ht="24.6" customHeight="1">
      <c r="A10" s="4013" t="s">
        <v>1354</v>
      </c>
      <c r="B10" s="4014"/>
      <c r="C10" s="4014"/>
      <c r="D10" s="4014"/>
      <c r="E10" s="4014"/>
      <c r="F10" s="4014"/>
      <c r="G10" s="4014"/>
      <c r="H10" s="4014"/>
      <c r="I10" s="4014"/>
      <c r="J10" s="4014"/>
      <c r="K10" s="4014"/>
      <c r="L10" s="4014"/>
      <c r="M10" s="4014"/>
      <c r="N10" s="4014"/>
      <c r="O10" s="4014"/>
      <c r="P10" s="4014"/>
      <c r="Q10" s="4015"/>
      <c r="R10" s="3857"/>
      <c r="S10" s="3132"/>
    </row>
    <row r="11" spans="1:32" ht="24.6" customHeight="1">
      <c r="A11" s="4013" t="s">
        <v>1355</v>
      </c>
      <c r="B11" s="4014"/>
      <c r="C11" s="4014"/>
      <c r="D11" s="4014"/>
      <c r="E11" s="4014"/>
      <c r="F11" s="4014"/>
      <c r="G11" s="4014"/>
      <c r="H11" s="4014"/>
      <c r="I11" s="4014"/>
      <c r="J11" s="4014"/>
      <c r="K11" s="4014"/>
      <c r="L11" s="4014"/>
      <c r="M11" s="4014"/>
      <c r="N11" s="4014"/>
      <c r="O11" s="4014"/>
      <c r="P11" s="4014"/>
      <c r="Q11" s="4015"/>
      <c r="R11" s="3857"/>
      <c r="S11" s="3132"/>
    </row>
    <row r="12" spans="1:32" ht="24" customHeight="1">
      <c r="A12" s="4013" t="s">
        <v>1356</v>
      </c>
      <c r="B12" s="4014"/>
      <c r="C12" s="4014"/>
      <c r="D12" s="4014"/>
      <c r="E12" s="4014"/>
      <c r="F12" s="4014"/>
      <c r="G12" s="4014"/>
      <c r="H12" s="4014"/>
      <c r="I12" s="4014"/>
      <c r="J12" s="4014"/>
      <c r="K12" s="4014"/>
      <c r="L12" s="4014"/>
      <c r="M12" s="4014"/>
      <c r="N12" s="4014"/>
      <c r="O12" s="4014"/>
      <c r="P12" s="4014"/>
      <c r="Q12" s="4015"/>
      <c r="R12" s="2617"/>
      <c r="S12" s="2617"/>
    </row>
    <row r="13" spans="1:32" ht="11.25" customHeight="1">
      <c r="A13" s="4013" t="s">
        <v>1357</v>
      </c>
      <c r="B13" s="4014"/>
      <c r="C13" s="4014"/>
      <c r="D13" s="4014"/>
      <c r="E13" s="4014"/>
      <c r="F13" s="4014"/>
      <c r="G13" s="4014"/>
      <c r="H13" s="4014"/>
      <c r="I13" s="4014"/>
      <c r="J13" s="4014"/>
      <c r="K13" s="4014"/>
      <c r="L13" s="4014"/>
      <c r="M13" s="4014"/>
      <c r="N13" s="4014"/>
      <c r="O13" s="4014"/>
      <c r="P13" s="4014"/>
      <c r="Q13" s="4015"/>
      <c r="R13" s="2617"/>
      <c r="S13" s="2617"/>
    </row>
    <row r="14" spans="1:32" ht="11.25" customHeight="1">
      <c r="A14" s="4013" t="s">
        <v>1359</v>
      </c>
      <c r="B14" s="4014"/>
      <c r="C14" s="4014"/>
      <c r="D14" s="4014"/>
      <c r="E14" s="4014"/>
      <c r="F14" s="4014"/>
      <c r="G14" s="4014"/>
      <c r="H14" s="4014"/>
      <c r="I14" s="4014"/>
      <c r="J14" s="4014"/>
      <c r="K14" s="4014"/>
      <c r="L14" s="4014"/>
      <c r="M14" s="4014"/>
      <c r="N14" s="4014"/>
      <c r="O14" s="4014"/>
      <c r="P14" s="4014"/>
      <c r="Q14" s="4015"/>
    </row>
    <row r="15" spans="1:32" ht="11.25" customHeight="1">
      <c r="A15" s="4013" t="s">
        <v>1927</v>
      </c>
      <c r="B15" s="4014"/>
      <c r="C15" s="4014"/>
      <c r="D15" s="4014"/>
      <c r="E15" s="4014"/>
      <c r="F15" s="4014"/>
      <c r="G15" s="4014"/>
      <c r="H15" s="4014"/>
      <c r="I15" s="4014"/>
      <c r="J15" s="4014"/>
      <c r="K15" s="4014"/>
      <c r="L15" s="4014"/>
      <c r="M15" s="4014"/>
      <c r="N15" s="4014"/>
      <c r="O15" s="4014"/>
      <c r="P15" s="4014"/>
      <c r="Q15" s="4015"/>
      <c r="R15" s="3857"/>
      <c r="S15" s="3450"/>
    </row>
    <row r="16" spans="1:32" ht="11.25" customHeight="1">
      <c r="A16" s="4013" t="s">
        <v>1928</v>
      </c>
      <c r="B16" s="4014"/>
      <c r="C16" s="4014"/>
      <c r="D16" s="4014"/>
      <c r="E16" s="4014"/>
      <c r="F16" s="4014"/>
      <c r="G16" s="4014"/>
      <c r="H16" s="4014"/>
      <c r="I16" s="4014"/>
      <c r="J16" s="4014"/>
      <c r="K16" s="4014"/>
      <c r="L16" s="4014"/>
      <c r="M16" s="4014"/>
      <c r="N16" s="4014"/>
      <c r="O16" s="4014"/>
      <c r="P16" s="4014"/>
      <c r="Q16" s="4015"/>
      <c r="R16" s="3857"/>
      <c r="S16" s="3450"/>
    </row>
    <row r="17" spans="1:31" ht="11.25" customHeight="1">
      <c r="A17" s="4013" t="s">
        <v>1929</v>
      </c>
      <c r="B17" s="4014"/>
      <c r="C17" s="4014"/>
      <c r="D17" s="4014"/>
      <c r="E17" s="4014"/>
      <c r="F17" s="4014"/>
      <c r="G17" s="4014"/>
      <c r="H17" s="4014"/>
      <c r="I17" s="4014"/>
      <c r="J17" s="4014"/>
      <c r="K17" s="4014"/>
      <c r="L17" s="4014"/>
      <c r="M17" s="4014"/>
      <c r="N17" s="4014"/>
      <c r="O17" s="4014"/>
      <c r="P17" s="4014"/>
      <c r="Q17" s="4015"/>
      <c r="R17" s="3857"/>
      <c r="S17" s="3450"/>
    </row>
    <row r="18" spans="1:31" ht="11.25" customHeight="1">
      <c r="A18" s="4013" t="s">
        <v>1930</v>
      </c>
      <c r="B18" s="4014"/>
      <c r="C18" s="4014"/>
      <c r="D18" s="4014"/>
      <c r="E18" s="4014"/>
      <c r="F18" s="4014"/>
      <c r="G18" s="4014"/>
      <c r="H18" s="4014"/>
      <c r="I18" s="4014"/>
      <c r="J18" s="4014"/>
      <c r="K18" s="4014"/>
      <c r="L18" s="4014"/>
      <c r="M18" s="4014"/>
      <c r="N18" s="4014"/>
      <c r="O18" s="4014"/>
      <c r="P18" s="4014"/>
      <c r="Q18" s="4015"/>
      <c r="R18" s="3857"/>
      <c r="S18" s="3450"/>
    </row>
    <row r="19" spans="1:31" ht="11.25" customHeight="1">
      <c r="A19" s="4013" t="s">
        <v>1931</v>
      </c>
      <c r="B19" s="4014"/>
      <c r="C19" s="4014"/>
      <c r="D19" s="4014"/>
      <c r="E19" s="4014"/>
      <c r="F19" s="4014"/>
      <c r="G19" s="4014"/>
      <c r="H19" s="4014"/>
      <c r="I19" s="4014"/>
      <c r="J19" s="4014"/>
      <c r="K19" s="4014"/>
      <c r="L19" s="4014"/>
      <c r="M19" s="4014"/>
      <c r="N19" s="4014"/>
      <c r="O19" s="4014"/>
      <c r="P19" s="4014"/>
      <c r="Q19" s="4015"/>
      <c r="R19" s="3857"/>
      <c r="S19" s="3450"/>
    </row>
    <row r="20" spans="1:31" ht="11.25" customHeight="1">
      <c r="A20" s="4013" t="s">
        <v>1932</v>
      </c>
      <c r="B20" s="4014"/>
      <c r="C20" s="4014"/>
      <c r="D20" s="4014"/>
      <c r="E20" s="4014"/>
      <c r="F20" s="4014"/>
      <c r="G20" s="4014"/>
      <c r="H20" s="4014"/>
      <c r="I20" s="4014"/>
      <c r="J20" s="4014"/>
      <c r="K20" s="4014"/>
      <c r="L20" s="4014"/>
      <c r="M20" s="4014"/>
      <c r="N20" s="4014"/>
      <c r="O20" s="4014"/>
      <c r="P20" s="4014"/>
      <c r="Q20" s="4015"/>
      <c r="R20" s="3857"/>
      <c r="S20" s="3450"/>
    </row>
    <row r="21" spans="1:31" ht="11.25" customHeight="1">
      <c r="A21" s="4013" t="s">
        <v>1933</v>
      </c>
      <c r="B21" s="4014"/>
      <c r="C21" s="4014"/>
      <c r="D21" s="4014"/>
      <c r="E21" s="4014"/>
      <c r="F21" s="4014"/>
      <c r="G21" s="4014"/>
      <c r="H21" s="4014"/>
      <c r="I21" s="4014"/>
      <c r="J21" s="4014"/>
      <c r="K21" s="4014"/>
      <c r="L21" s="4014"/>
      <c r="M21" s="4014"/>
      <c r="N21" s="4014"/>
      <c r="O21" s="4014"/>
      <c r="P21" s="4014"/>
      <c r="Q21" s="4015"/>
    </row>
    <row r="22" spans="1:31" ht="11.25" customHeight="1">
      <c r="A22" s="4013" t="s">
        <v>1934</v>
      </c>
      <c r="B22" s="4014"/>
      <c r="C22" s="4014"/>
      <c r="D22" s="4014"/>
      <c r="E22" s="4014"/>
      <c r="F22" s="4014"/>
      <c r="G22" s="4014"/>
      <c r="H22" s="4014"/>
      <c r="I22" s="4014"/>
      <c r="J22" s="4014"/>
      <c r="K22" s="4014"/>
      <c r="L22" s="4014"/>
      <c r="M22" s="4014"/>
      <c r="N22" s="4014"/>
      <c r="O22" s="4014"/>
      <c r="P22" s="4014"/>
      <c r="Q22" s="4015"/>
      <c r="R22" s="3857"/>
      <c r="S22" s="3450"/>
    </row>
    <row r="23" spans="1:31" ht="11.25" customHeight="1">
      <c r="A23" s="4013" t="s">
        <v>1935</v>
      </c>
      <c r="B23" s="4014"/>
      <c r="C23" s="4014"/>
      <c r="D23" s="4014"/>
      <c r="E23" s="4014"/>
      <c r="F23" s="4014"/>
      <c r="G23" s="4014"/>
      <c r="H23" s="4014"/>
      <c r="I23" s="4014"/>
      <c r="J23" s="4014"/>
      <c r="K23" s="4014"/>
      <c r="L23" s="4014"/>
      <c r="M23" s="4014"/>
      <c r="N23" s="4014"/>
      <c r="O23" s="4014"/>
      <c r="P23" s="4014"/>
      <c r="Q23" s="4015"/>
      <c r="R23" s="3857"/>
      <c r="S23" s="3450"/>
    </row>
    <row r="24" spans="1:31" ht="11.25" customHeight="1">
      <c r="A24" s="4013" t="s">
        <v>1936</v>
      </c>
      <c r="B24" s="4014"/>
      <c r="C24" s="4014"/>
      <c r="D24" s="4014"/>
      <c r="E24" s="4014"/>
      <c r="F24" s="4014"/>
      <c r="G24" s="4014"/>
      <c r="H24" s="4014"/>
      <c r="I24" s="4014"/>
      <c r="J24" s="4014"/>
      <c r="K24" s="4014"/>
      <c r="L24" s="4014"/>
      <c r="M24" s="4014"/>
      <c r="N24" s="4014"/>
      <c r="O24" s="4014"/>
      <c r="P24" s="4014"/>
      <c r="Q24" s="4015"/>
      <c r="R24" s="3857"/>
      <c r="S24" s="3450"/>
    </row>
    <row r="25" spans="1:31" ht="11.25" customHeight="1">
      <c r="A25" s="4013" t="s">
        <v>1937</v>
      </c>
      <c r="B25" s="4014"/>
      <c r="C25" s="4014"/>
      <c r="D25" s="4014"/>
      <c r="E25" s="4014"/>
      <c r="F25" s="4014"/>
      <c r="G25" s="4014"/>
      <c r="H25" s="4014"/>
      <c r="I25" s="4014"/>
      <c r="J25" s="4014"/>
      <c r="K25" s="4014"/>
      <c r="L25" s="4014"/>
      <c r="M25" s="4014"/>
      <c r="N25" s="4014"/>
      <c r="O25" s="4014"/>
      <c r="P25" s="4014"/>
      <c r="Q25" s="4015"/>
      <c r="R25" s="3857"/>
      <c r="S25" s="3450"/>
    </row>
    <row r="26" spans="1:31" ht="11.25" customHeight="1">
      <c r="A26" s="4013" t="s">
        <v>1938</v>
      </c>
      <c r="B26" s="4014"/>
      <c r="C26" s="4014"/>
      <c r="D26" s="4014"/>
      <c r="E26" s="4014"/>
      <c r="F26" s="4014"/>
      <c r="G26" s="4014"/>
      <c r="H26" s="4014"/>
      <c r="I26" s="4014"/>
      <c r="J26" s="4014"/>
      <c r="K26" s="4014"/>
      <c r="L26" s="4014"/>
      <c r="M26" s="4014"/>
      <c r="N26" s="4014"/>
      <c r="O26" s="4014"/>
      <c r="P26" s="4014"/>
      <c r="Q26" s="4015"/>
      <c r="R26" s="3857"/>
      <c r="S26" s="3450"/>
    </row>
    <row r="27" spans="1:31" ht="11.25" customHeight="1">
      <c r="A27" s="4065" t="s">
        <v>1939</v>
      </c>
      <c r="B27" s="4066"/>
      <c r="C27" s="4066"/>
      <c r="D27" s="4066"/>
      <c r="E27" s="4066"/>
      <c r="F27" s="4066"/>
      <c r="G27" s="4066"/>
      <c r="H27" s="4066"/>
      <c r="I27" s="4066"/>
      <c r="J27" s="4066"/>
      <c r="K27" s="4066"/>
      <c r="L27" s="4066"/>
      <c r="M27" s="4066"/>
      <c r="N27" s="4066"/>
      <c r="O27" s="4066"/>
      <c r="P27" s="4066"/>
      <c r="Q27" s="4067"/>
      <c r="R27" s="3857"/>
      <c r="S27" s="3450"/>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1"/>
      <c r="Q29" s="3962"/>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108.75" customHeight="1">
      <c r="A32" s="3963" t="s">
        <v>6993</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68"/>
      <c r="B34" s="4068"/>
      <c r="C34" s="4068"/>
      <c r="D34" s="4068"/>
      <c r="E34" s="4068"/>
      <c r="F34" s="4068"/>
      <c r="G34" s="4068"/>
      <c r="H34" s="4068"/>
      <c r="I34" s="4068"/>
      <c r="J34" s="4068"/>
      <c r="K34" s="4068"/>
      <c r="L34" s="4068"/>
      <c r="M34" s="4068"/>
      <c r="N34" s="4068"/>
      <c r="O34" s="4068"/>
      <c r="P34" s="4068"/>
      <c r="Q34" s="4068"/>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1"/>
      <c r="Q36" s="3962"/>
    </row>
    <row r="37" spans="1:295" ht="11.25" customHeight="1">
      <c r="A37" s="4081"/>
      <c r="B37" s="4081"/>
      <c r="C37" s="4081"/>
      <c r="D37" s="4081"/>
      <c r="E37" s="4081"/>
      <c r="F37" s="1324"/>
      <c r="G37" s="4069" t="s">
        <v>2562</v>
      </c>
      <c r="H37" s="4070"/>
      <c r="I37" s="559"/>
      <c r="J37" s="42"/>
      <c r="K37" s="4071" t="s">
        <v>3286</v>
      </c>
      <c r="L37" s="4072"/>
      <c r="M37" s="4072"/>
      <c r="N37" s="4073"/>
    </row>
    <row r="38" spans="1:295" ht="11.25" customHeight="1">
      <c r="A38" s="4081"/>
      <c r="B38" s="4081"/>
      <c r="C38" s="4081"/>
      <c r="D38" s="4081"/>
      <c r="E38" s="4081"/>
      <c r="F38" s="1324"/>
      <c r="G38" s="4074" t="s">
        <v>335</v>
      </c>
      <c r="H38" s="4075"/>
      <c r="I38" s="559"/>
      <c r="J38" s="42"/>
      <c r="K38" s="4032" t="s">
        <v>3287</v>
      </c>
      <c r="L38" s="4033"/>
      <c r="M38" s="4033"/>
      <c r="N38" s="4034"/>
      <c r="P38" s="488" t="s">
        <v>2573</v>
      </c>
      <c r="Q38" s="2489" t="s">
        <v>2769</v>
      </c>
    </row>
    <row r="39" spans="1:295" ht="4.5" customHeight="1">
      <c r="A39" s="1324"/>
      <c r="B39" s="1324"/>
      <c r="C39" s="1324"/>
      <c r="D39" s="1324"/>
      <c r="E39" s="1324"/>
      <c r="F39" s="1324"/>
      <c r="G39" s="211"/>
      <c r="H39" s="211"/>
      <c r="I39" s="211"/>
      <c r="J39" s="42"/>
      <c r="K39" s="4035"/>
      <c r="L39" s="4035"/>
      <c r="M39" s="4035"/>
      <c r="N39" s="4035"/>
      <c r="P39" s="4078" t="s">
        <v>4134</v>
      </c>
      <c r="Q39" s="4078"/>
    </row>
    <row r="40" spans="1:295" s="82" customFormat="1" ht="10.5" customHeight="1">
      <c r="D40" s="560" t="s">
        <v>2561</v>
      </c>
      <c r="E40" s="35"/>
      <c r="F40" s="561" t="s">
        <v>3188</v>
      </c>
      <c r="G40" s="4036" t="s">
        <v>4078</v>
      </c>
      <c r="H40" s="4036"/>
      <c r="I40" s="4036"/>
      <c r="J40" s="35"/>
      <c r="K40" s="561" t="s">
        <v>3188</v>
      </c>
      <c r="L40" s="4036" t="s">
        <v>4077</v>
      </c>
      <c r="M40" s="4036"/>
      <c r="N40" s="4036"/>
      <c r="O40" s="35"/>
      <c r="P40" s="4078"/>
      <c r="Q40" s="4078"/>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5" t="s">
        <v>3118</v>
      </c>
      <c r="B41" s="4045"/>
      <c r="C41" s="404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5"/>
      <c r="P41" s="4079"/>
      <c r="Q41" s="4079"/>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5"/>
      <c r="B42" s="4045"/>
      <c r="C42" s="4045"/>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5"/>
      <c r="P42" s="4004" t="str">
        <f>IF('Part I-Project Information'!$F$39="","",VLOOKUP('Part I-Project Information'!$J$40,'DCA Underwriting Assumptions'!$G$174:$N$333,8,FALSE))</f>
        <v>Macon</v>
      </c>
      <c r="Q42" s="4005"/>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5"/>
      <c r="B43" s="4045"/>
      <c r="C43" s="4045"/>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5"/>
      <c r="P43" s="4006"/>
      <c r="Q43" s="4007"/>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5"/>
      <c r="B44" s="4045"/>
      <c r="C44" s="4045"/>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5"/>
      <c r="P44" s="4064" t="s">
        <v>4135</v>
      </c>
      <c r="Q44" s="406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5"/>
      <c r="P45" s="4076">
        <f>'Part IV-A-Uses of Funds'!$G$146</f>
        <v>11656720</v>
      </c>
      <c r="Q45" s="4077"/>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4" t="s">
        <v>4121</v>
      </c>
      <c r="Q46" s="4064"/>
      <c r="R46" s="4080" t="s">
        <v>6610</v>
      </c>
      <c r="S46" s="4080"/>
      <c r="T46" s="4080"/>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5" t="s">
        <v>3113</v>
      </c>
      <c r="B48" s="4045"/>
      <c r="C48" s="404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76">
        <f>'Part IV-A-Uses of Funds'!$G$146-'Part IV-A-Uses of Funds'!$G$92-'Part IV-A-Uses of Funds'!$G$114-'Part IV-A-Uses of Funds'!$G$130-'Part IV-A-Uses of Funds'!$G$131-'Part IV-A-Uses of Funds'!$G$132</f>
        <v>11209553</v>
      </c>
      <c r="Q48" s="4077"/>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5"/>
      <c r="B49" s="4045"/>
      <c r="C49" s="4045"/>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3" t="str">
        <f>IF(F49="","",F49*G49)</f>
        <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008" t="s">
        <v>3513</v>
      </c>
      <c r="Q49" s="4008"/>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5"/>
      <c r="B50" s="4045"/>
      <c r="C50" s="4045"/>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009"/>
      <c r="Q50" s="4010"/>
      <c r="R50" s="396"/>
      <c r="S50" s="3975" t="s">
        <v>4124</v>
      </c>
      <c r="T50" s="3976"/>
      <c r="U50" s="3976"/>
      <c r="V50" s="3977"/>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3" t="str">
        <f>IF(F51="","",F51*G51)</f>
        <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011"/>
      <c r="Q51" s="4012"/>
      <c r="S51" s="3978"/>
      <c r="T51" s="3979"/>
      <c r="U51" s="3979"/>
      <c r="V51" s="3980"/>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037" t="s">
        <v>3282</v>
      </c>
      <c r="Q52" s="4037"/>
      <c r="S52" s="3978"/>
      <c r="T52" s="3979"/>
      <c r="U52" s="3979"/>
      <c r="V52" s="3980"/>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78"/>
      <c r="T53" s="3979"/>
      <c r="U53" s="3979"/>
      <c r="V53" s="3980"/>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8"/>
      <c r="T54" s="3979"/>
      <c r="U54" s="3979"/>
      <c r="V54" s="3980"/>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3978"/>
      <c r="T55" s="3979"/>
      <c r="U55" s="3979"/>
      <c r="V55" s="3980"/>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8</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8 units = </v>
      </c>
      <c r="I56" s="1323">
        <f>IF(F56="","",F56*G56)</f>
        <v>1404775.5999999999</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037" t="s">
        <v>3283</v>
      </c>
      <c r="Q56" s="4037"/>
      <c r="S56" s="3978"/>
      <c r="T56" s="3979"/>
      <c r="U56" s="3979"/>
      <c r="V56" s="3980"/>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24 units = </v>
      </c>
      <c r="I57" s="1323">
        <f>IF(F57="","",F57*G57)</f>
        <v>5332595.9999999991</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3009</v>
      </c>
      <c r="Q57" s="954" t="s">
        <v>245</v>
      </c>
      <c r="S57" s="3978"/>
      <c r="T57" s="3979"/>
      <c r="U57" s="3979"/>
      <c r="V57" s="3980"/>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16 units = </v>
      </c>
      <c r="I58" s="1323">
        <f>IF(F58="","",F58*G58)</f>
        <v>4478566.4000000004</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2</v>
      </c>
      <c r="Q58" s="953">
        <f>'Part IX Scoring Criteria'!P108</f>
        <v>0</v>
      </c>
      <c r="S58" s="3978"/>
      <c r="T58" s="3979"/>
      <c r="U58" s="3979"/>
      <c r="V58" s="3980"/>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038" t="s">
        <v>2597</v>
      </c>
      <c r="Q59" s="4038"/>
      <c r="S59" s="3978"/>
      <c r="T59" s="3979"/>
      <c r="U59" s="3979"/>
      <c r="V59" s="3980"/>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48</v>
      </c>
      <c r="G60" s="562"/>
      <c r="H60" s="947"/>
      <c r="I60" s="948">
        <f>SUM(I55:I59)</f>
        <v>11215938</v>
      </c>
      <c r="J60" s="949"/>
      <c r="K60" s="946">
        <f>SUM(K55:K59)</f>
        <v>0</v>
      </c>
      <c r="L60" s="949"/>
      <c r="M60" s="947"/>
      <c r="N60" s="948">
        <f>SUM(N55:N59)</f>
        <v>0</v>
      </c>
      <c r="O60" s="514"/>
      <c r="P60" s="4038"/>
      <c r="Q60" s="4038"/>
      <c r="S60" s="3978"/>
      <c r="T60" s="3979"/>
      <c r="U60" s="3979"/>
      <c r="V60" s="3980"/>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8"/>
      <c r="Q61" s="4038"/>
      <c r="R61" s="396"/>
      <c r="S61" s="3978"/>
      <c r="T61" s="3979"/>
      <c r="U61" s="3979"/>
      <c r="V61" s="3980"/>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039"/>
      <c r="Q62" s="4039"/>
      <c r="R62" s="396"/>
      <c r="S62" s="3981"/>
      <c r="T62" s="3982"/>
      <c r="U62" s="3982"/>
      <c r="V62" s="3983"/>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040">
        <f>IF(P50&gt;1,P50, IF(OR('Part IX Scoring Criteria'!$O$108='Part IX Scoring Criteria'!$M$108,AND('Part IV-A-Uses of Funds'!$T$185="Yes",'Part IX Scoring Criteria'!$O$330&gt;0)),H69+M69,H69))</f>
        <v>11215938</v>
      </c>
      <c r="Q63" s="4041"/>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042"/>
      <c r="Q64" s="4043"/>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3988" t="s">
        <v>3602</v>
      </c>
      <c r="Q65" s="3988"/>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3989"/>
      <c r="Q66" s="3989"/>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89"/>
      <c r="Q67" s="3989"/>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9"/>
      <c r="Q68" s="3989"/>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48</v>
      </c>
      <c r="G69" s="324"/>
      <c r="H69" s="4082">
        <f>I46+I53+I60+I67</f>
        <v>11215938</v>
      </c>
      <c r="I69" s="4082"/>
      <c r="J69" s="4082"/>
      <c r="K69" s="553">
        <f>K46+K53+K60+K67</f>
        <v>0</v>
      </c>
      <c r="L69" s="554"/>
      <c r="M69" s="4082">
        <f>N46+N53+N60+N67</f>
        <v>0</v>
      </c>
      <c r="N69" s="4082"/>
      <c r="O69" s="4082"/>
      <c r="P69" s="3989"/>
      <c r="Q69" s="3989"/>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1780</v>
      </c>
      <c r="L70" s="1401"/>
      <c r="M70" s="1401"/>
      <c r="N70" s="1401"/>
      <c r="O70" s="1401"/>
      <c r="P70" s="3990"/>
      <c r="Q70" s="3990"/>
    </row>
    <row r="71" spans="1:295" ht="10.5" customHeight="1">
      <c r="A71" s="3963" t="s">
        <v>6918</v>
      </c>
      <c r="B71" s="3964"/>
      <c r="C71" s="3964"/>
      <c r="D71" s="3964"/>
      <c r="E71" s="3964"/>
      <c r="F71" s="3964"/>
      <c r="G71" s="3964"/>
      <c r="H71" s="3964"/>
      <c r="I71" s="3964"/>
      <c r="J71" s="3965"/>
      <c r="K71" s="3970"/>
      <c r="L71" s="3971"/>
      <c r="M71" s="3971"/>
      <c r="N71" s="3971"/>
      <c r="O71" s="3971"/>
      <c r="P71" s="3971"/>
      <c r="Q71" s="3972"/>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1"/>
      <c r="Q73" s="3962"/>
    </row>
    <row r="74" spans="1:295" ht="12.75" customHeight="1">
      <c r="A74" s="2650"/>
      <c r="B74" s="138" t="s">
        <v>6433</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6434</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1780</v>
      </c>
      <c r="L76" s="1401"/>
      <c r="M76" s="1401"/>
      <c r="N76" s="1401"/>
      <c r="O76" s="1401"/>
      <c r="P76" s="1401"/>
      <c r="Q76" s="782"/>
    </row>
    <row r="77" spans="1:295" ht="10.5" customHeight="1">
      <c r="A77" s="3963" t="s">
        <v>6919</v>
      </c>
      <c r="B77" s="3964"/>
      <c r="C77" s="3964"/>
      <c r="D77" s="3964"/>
      <c r="E77" s="3964"/>
      <c r="F77" s="3964"/>
      <c r="G77" s="3964"/>
      <c r="H77" s="3964"/>
      <c r="I77" s="3964"/>
      <c r="J77" s="3965"/>
      <c r="K77" s="3970"/>
      <c r="L77" s="3971"/>
      <c r="M77" s="3971"/>
      <c r="N77" s="3971"/>
      <c r="O77" s="3971"/>
      <c r="P77" s="3971"/>
      <c r="Q77" s="3972"/>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3950</v>
      </c>
      <c r="M79" s="1400" t="s">
        <v>3951</v>
      </c>
      <c r="O79" s="130" t="s">
        <v>1781</v>
      </c>
      <c r="P79" s="3961"/>
      <c r="Q79" s="3962"/>
    </row>
    <row r="80" spans="1:295" ht="1.5" customHeight="1"/>
    <row r="81" spans="1:31" ht="12" customHeight="1">
      <c r="A81" s="140" t="s">
        <v>1893</v>
      </c>
      <c r="B81" s="4083" t="s">
        <v>3944</v>
      </c>
      <c r="C81" s="4083"/>
      <c r="D81" s="4083"/>
      <c r="E81" s="4083"/>
      <c r="F81" s="4083"/>
      <c r="G81" s="4083"/>
      <c r="H81" s="4083"/>
      <c r="I81" s="4083"/>
      <c r="J81" s="4083"/>
      <c r="K81" s="146"/>
      <c r="L81" s="420" t="s">
        <v>2698</v>
      </c>
      <c r="M81" s="1289">
        <v>2</v>
      </c>
      <c r="N81" s="382" t="s">
        <v>4225</v>
      </c>
      <c r="P81" s="4061" t="s">
        <v>6920</v>
      </c>
      <c r="Q81" s="4166"/>
    </row>
    <row r="82" spans="1:31" ht="12" customHeight="1">
      <c r="A82" s="140"/>
      <c r="B82" s="4083"/>
      <c r="C82" s="4083"/>
      <c r="D82" s="4083"/>
      <c r="E82" s="4083"/>
      <c r="F82" s="4083"/>
      <c r="G82" s="4083"/>
      <c r="H82" s="4083"/>
      <c r="I82" s="4083"/>
      <c r="J82" s="4083"/>
      <c r="K82" s="146"/>
      <c r="L82" s="420" t="s">
        <v>3949</v>
      </c>
      <c r="M82" s="1290">
        <v>4</v>
      </c>
      <c r="O82" s="141"/>
      <c r="P82" s="4062"/>
      <c r="Q82" s="4167"/>
    </row>
    <row r="83" spans="1:31" ht="12" customHeight="1">
      <c r="A83" s="140"/>
      <c r="D83" s="2653"/>
      <c r="E83" s="2653"/>
      <c r="F83" s="2653"/>
      <c r="G83" s="2653"/>
      <c r="H83" s="2653"/>
      <c r="I83" s="2653"/>
      <c r="J83" s="2653"/>
      <c r="K83" s="146"/>
      <c r="L83" s="451" t="s">
        <v>6411</v>
      </c>
      <c r="M83" s="1290"/>
      <c r="O83" s="141"/>
      <c r="P83" s="2491">
        <v>2</v>
      </c>
      <c r="Q83" s="2951"/>
    </row>
    <row r="84" spans="1:31" ht="12" customHeight="1">
      <c r="A84" s="47" t="s">
        <v>1895</v>
      </c>
      <c r="B84" s="382" t="s">
        <v>3952</v>
      </c>
      <c r="C84" s="382"/>
      <c r="D84" s="382"/>
      <c r="E84" s="382"/>
      <c r="F84" s="382"/>
      <c r="G84" s="382"/>
      <c r="H84" s="382"/>
      <c r="I84" s="382"/>
      <c r="J84" s="382"/>
      <c r="K84" s="534"/>
      <c r="L84" s="382"/>
      <c r="M84" s="146"/>
      <c r="N84" s="817"/>
      <c r="O84" s="817"/>
      <c r="P84" s="817"/>
    </row>
    <row r="85" spans="1:31" ht="12.75" customHeight="1">
      <c r="A85" s="1254"/>
      <c r="B85" s="1305" t="s">
        <v>1658</v>
      </c>
      <c r="C85" s="382" t="s">
        <v>3956</v>
      </c>
      <c r="D85" s="1256"/>
      <c r="E85" s="1256"/>
      <c r="F85" s="1256"/>
      <c r="G85" s="1256"/>
      <c r="H85" s="1256"/>
      <c r="I85" s="1256"/>
      <c r="J85" s="1256"/>
      <c r="K85" s="1255"/>
      <c r="L85" s="816"/>
      <c r="N85" s="382" t="s">
        <v>4226</v>
      </c>
      <c r="O85" s="817"/>
      <c r="P85" s="2492" t="s">
        <v>6921</v>
      </c>
      <c r="Q85" s="2952"/>
    </row>
    <row r="86" spans="1:31" ht="12.75" customHeight="1">
      <c r="A86" s="1254"/>
      <c r="B86" s="1305" t="s">
        <v>1659</v>
      </c>
      <c r="C86" s="382" t="s">
        <v>3953</v>
      </c>
      <c r="D86" s="1256"/>
      <c r="E86" s="1256"/>
      <c r="F86" s="1256"/>
      <c r="G86" s="1256"/>
      <c r="H86" s="1256"/>
      <c r="I86" s="1256"/>
      <c r="J86" s="1256"/>
      <c r="K86" s="1255"/>
      <c r="L86" s="816"/>
      <c r="N86" s="382" t="s">
        <v>4227</v>
      </c>
      <c r="O86" s="817"/>
      <c r="P86" s="2666" t="s">
        <v>6920</v>
      </c>
      <c r="Q86" s="2953"/>
    </row>
    <row r="87" spans="1:31" ht="12.75" customHeight="1">
      <c r="A87" s="1253"/>
      <c r="B87" s="451" t="s">
        <v>1660</v>
      </c>
      <c r="C87" s="382" t="s">
        <v>3954</v>
      </c>
      <c r="E87" s="1256"/>
      <c r="F87" s="1256"/>
      <c r="G87" s="1256"/>
      <c r="H87" s="1256"/>
      <c r="I87" s="1256"/>
      <c r="J87" s="1256"/>
      <c r="K87" s="1255"/>
      <c r="L87" s="816"/>
      <c r="M87" s="817"/>
      <c r="N87" s="382" t="s">
        <v>4228</v>
      </c>
      <c r="O87" s="817"/>
      <c r="P87" s="2666" t="s">
        <v>6920</v>
      </c>
      <c r="Q87" s="2953"/>
    </row>
    <row r="88" spans="1:31" ht="12.75" customHeight="1">
      <c r="A88" s="142"/>
      <c r="B88" s="451" t="s">
        <v>2260</v>
      </c>
      <c r="C88" s="451" t="s">
        <v>3957</v>
      </c>
      <c r="D88" s="132"/>
      <c r="E88" s="132"/>
      <c r="F88" s="132"/>
      <c r="G88" s="132"/>
      <c r="H88" s="132"/>
      <c r="I88" s="42"/>
      <c r="J88" s="42"/>
      <c r="N88" s="382" t="s">
        <v>4229</v>
      </c>
      <c r="O88" s="817"/>
      <c r="P88" s="2671" t="s">
        <v>6922</v>
      </c>
      <c r="Q88" s="2954"/>
    </row>
    <row r="89" spans="1:31" ht="12.75" customHeight="1">
      <c r="A89" s="142"/>
      <c r="B89" s="451"/>
      <c r="C89" s="382" t="s">
        <v>3958</v>
      </c>
      <c r="D89" s="132"/>
      <c r="E89" s="132"/>
      <c r="F89" s="132"/>
      <c r="G89" s="132"/>
      <c r="H89" s="132"/>
      <c r="I89" s="42"/>
      <c r="J89" s="42"/>
      <c r="L89" s="3995"/>
      <c r="M89" s="3996"/>
      <c r="N89" s="3996"/>
      <c r="O89" s="3996"/>
      <c r="P89" s="3996"/>
      <c r="Q89" s="3997"/>
    </row>
    <row r="90" spans="1:31" ht="12.75" customHeight="1">
      <c r="A90" s="142"/>
      <c r="B90" s="451" t="s">
        <v>1487</v>
      </c>
      <c r="C90" s="4083" t="s">
        <v>3955</v>
      </c>
      <c r="D90" s="4083"/>
      <c r="E90" s="4083"/>
      <c r="F90" s="4083"/>
      <c r="G90" s="4083"/>
      <c r="H90" s="4083"/>
      <c r="I90" s="4083"/>
      <c r="J90" s="4083"/>
      <c r="K90" s="4083"/>
      <c r="L90" s="4083"/>
      <c r="M90" s="494"/>
      <c r="N90" s="382" t="s">
        <v>4230</v>
      </c>
      <c r="O90" s="817"/>
      <c r="P90" s="2493" t="s">
        <v>6920</v>
      </c>
      <c r="Q90" s="2955"/>
    </row>
    <row r="91" spans="1:31" ht="12.75" customHeight="1">
      <c r="A91" s="47"/>
      <c r="C91" s="4083"/>
      <c r="D91" s="4083"/>
      <c r="E91" s="4083"/>
      <c r="F91" s="4083"/>
      <c r="G91" s="4083"/>
      <c r="H91" s="4083"/>
      <c r="I91" s="4083"/>
      <c r="J91" s="4083"/>
      <c r="K91" s="4083"/>
      <c r="L91" s="4083"/>
      <c r="M91" s="494"/>
    </row>
    <row r="92" spans="1:31" ht="10.5" customHeight="1">
      <c r="B92" s="94" t="s">
        <v>3372</v>
      </c>
      <c r="D92" s="94"/>
      <c r="E92" s="94"/>
      <c r="F92" s="94"/>
      <c r="G92" s="94"/>
      <c r="H92" s="40"/>
      <c r="I92" s="2672"/>
      <c r="J92" s="2672"/>
      <c r="K92" s="135" t="s">
        <v>1780</v>
      </c>
      <c r="L92" s="1401"/>
      <c r="M92" s="1401"/>
      <c r="N92" s="1401"/>
      <c r="O92" s="1401"/>
      <c r="P92" s="1401"/>
      <c r="Q92" s="782"/>
    </row>
    <row r="93" spans="1:31" ht="10.5" customHeight="1">
      <c r="A93" s="3963" t="s">
        <v>6923</v>
      </c>
      <c r="B93" s="3964"/>
      <c r="C93" s="3964"/>
      <c r="D93" s="3964"/>
      <c r="E93" s="3964"/>
      <c r="F93" s="3964"/>
      <c r="G93" s="3964"/>
      <c r="H93" s="3964"/>
      <c r="I93" s="3964"/>
      <c r="J93" s="3965"/>
      <c r="K93" s="3970"/>
      <c r="L93" s="3971"/>
      <c r="M93" s="3971"/>
      <c r="N93" s="3971"/>
      <c r="O93" s="3971"/>
      <c r="P93" s="3971"/>
      <c r="Q93" s="3972"/>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4221</v>
      </c>
      <c r="C95" s="2650"/>
      <c r="D95" s="2655"/>
      <c r="E95" s="2655"/>
      <c r="F95" s="2655"/>
      <c r="G95" s="2655"/>
      <c r="H95" s="1409" t="str">
        <f>'Part I-Project Information'!$K$41</f>
        <v>Rural</v>
      </c>
      <c r="J95" s="47" t="s">
        <v>4224</v>
      </c>
      <c r="K95" s="557" t="str">
        <f>'Part I-Project Information'!$H$105</f>
        <v>Rural</v>
      </c>
      <c r="L95" s="63" t="s">
        <v>3987</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3954" t="s">
        <v>6877</v>
      </c>
      <c r="N97" s="3955"/>
      <c r="O97" s="3955"/>
      <c r="P97" s="4090"/>
      <c r="Q97" s="2952"/>
    </row>
    <row r="98" spans="1:32" ht="12.75" customHeight="1">
      <c r="A98" s="47" t="s">
        <v>1895</v>
      </c>
      <c r="B98" s="52" t="s">
        <v>4147</v>
      </c>
      <c r="D98" s="132"/>
      <c r="E98" s="132"/>
      <c r="F98" s="132"/>
      <c r="L98" s="439" t="s">
        <v>1895</v>
      </c>
      <c r="M98" s="4058" t="s">
        <v>6951</v>
      </c>
      <c r="N98" s="4059"/>
      <c r="O98" s="4059"/>
      <c r="P98" s="4060"/>
      <c r="Q98" s="2953"/>
    </row>
    <row r="99" spans="1:32" ht="12.75" customHeight="1">
      <c r="A99" s="47" t="s">
        <v>719</v>
      </c>
      <c r="B99" s="52" t="s">
        <v>2671</v>
      </c>
      <c r="D99" s="132"/>
      <c r="E99" s="132"/>
      <c r="F99" s="132"/>
      <c r="L99" s="439" t="s">
        <v>719</v>
      </c>
      <c r="M99" s="3984">
        <v>0.98699999999999999</v>
      </c>
      <c r="N99" s="3985"/>
      <c r="O99" s="3985"/>
      <c r="P99" s="3986"/>
      <c r="Q99" s="2953"/>
    </row>
    <row r="100" spans="1:32" ht="12.75" customHeight="1">
      <c r="A100" s="47" t="s">
        <v>2021</v>
      </c>
      <c r="B100" s="52" t="s">
        <v>3444</v>
      </c>
      <c r="D100" s="132"/>
      <c r="E100" s="132"/>
      <c r="F100" s="132"/>
      <c r="J100" s="439" t="s">
        <v>3445</v>
      </c>
      <c r="K100" s="2494">
        <v>2.1999999999999999E-2</v>
      </c>
      <c r="L100" s="2956"/>
      <c r="M100" s="1601"/>
      <c r="N100" s="1600"/>
      <c r="O100" s="955" t="s">
        <v>3541</v>
      </c>
      <c r="P100" s="2495" t="s">
        <v>2933</v>
      </c>
      <c r="Q100" s="2957"/>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6958</v>
      </c>
      <c r="E103" s="4044" t="s">
        <v>6956</v>
      </c>
      <c r="F103" s="4044"/>
      <c r="G103" s="4044"/>
      <c r="H103" s="65" t="s">
        <v>1660</v>
      </c>
      <c r="I103" s="2496" t="s">
        <v>6959</v>
      </c>
      <c r="J103" s="4044" t="s">
        <v>6952</v>
      </c>
      <c r="K103" s="4044"/>
      <c r="L103" s="4044"/>
      <c r="M103" s="64" t="s">
        <v>1487</v>
      </c>
      <c r="N103" s="2496" t="s">
        <v>6962</v>
      </c>
      <c r="O103" s="4044" t="s">
        <v>6957</v>
      </c>
      <c r="P103" s="4044"/>
      <c r="Q103" s="4044"/>
    </row>
    <row r="104" spans="1:32" ht="12.75" customHeight="1">
      <c r="C104" s="65" t="s">
        <v>1659</v>
      </c>
      <c r="D104" s="2497" t="s">
        <v>6963</v>
      </c>
      <c r="E104" s="4165" t="s">
        <v>6955</v>
      </c>
      <c r="F104" s="4165"/>
      <c r="G104" s="4165"/>
      <c r="H104" s="439" t="s">
        <v>2260</v>
      </c>
      <c r="I104" s="2497" t="s">
        <v>6961</v>
      </c>
      <c r="J104" s="4165" t="s">
        <v>6954</v>
      </c>
      <c r="K104" s="4165"/>
      <c r="L104" s="4165"/>
      <c r="M104" s="64" t="s">
        <v>1488</v>
      </c>
      <c r="N104" s="2497" t="s">
        <v>6960</v>
      </c>
      <c r="O104" s="4044" t="s">
        <v>6953</v>
      </c>
      <c r="P104" s="4044"/>
      <c r="Q104" s="4044"/>
    </row>
    <row r="105" spans="1:32" ht="12.75" customHeight="1">
      <c r="A105" s="47" t="s">
        <v>1657</v>
      </c>
      <c r="B105" s="52" t="s">
        <v>6325</v>
      </c>
      <c r="D105" s="132"/>
      <c r="E105" s="132"/>
      <c r="F105" s="132"/>
      <c r="G105" s="132"/>
      <c r="H105" s="132"/>
      <c r="I105" s="42"/>
      <c r="J105" s="42"/>
      <c r="K105" s="132"/>
      <c r="L105" s="2659"/>
      <c r="M105" s="2659"/>
      <c r="O105" s="439" t="s">
        <v>1657</v>
      </c>
      <c r="P105" s="2668" t="s">
        <v>2769</v>
      </c>
      <c r="Q105" s="2958"/>
    </row>
    <row r="106" spans="1:32" ht="12.75" customHeight="1">
      <c r="A106" s="47" t="s">
        <v>1858</v>
      </c>
      <c r="B106" s="52" t="s">
        <v>6327</v>
      </c>
      <c r="D106" s="132"/>
      <c r="E106" s="132"/>
      <c r="F106" s="132"/>
      <c r="G106" s="132"/>
      <c r="H106" s="132"/>
      <c r="I106" s="42"/>
      <c r="J106" s="42"/>
      <c r="K106" s="132"/>
      <c r="L106" s="2659"/>
      <c r="M106" s="2659"/>
      <c r="O106" s="439" t="s">
        <v>1858</v>
      </c>
      <c r="P106" s="2666" t="s">
        <v>2769</v>
      </c>
      <c r="Q106" s="2953"/>
    </row>
    <row r="107" spans="1:32" ht="10.5" customHeight="1">
      <c r="A107" s="47" t="s">
        <v>3124</v>
      </c>
      <c r="B107" s="52" t="s">
        <v>6329</v>
      </c>
      <c r="D107" s="132"/>
      <c r="E107" s="132"/>
      <c r="F107" s="132"/>
      <c r="G107" s="132"/>
      <c r="H107" s="132"/>
      <c r="I107" s="42"/>
      <c r="J107" s="42"/>
      <c r="K107" s="132"/>
      <c r="L107" s="2659"/>
      <c r="M107" s="2659"/>
      <c r="O107" s="439" t="s">
        <v>3124</v>
      </c>
      <c r="P107" s="2498">
        <v>0.95</v>
      </c>
      <c r="Q107" s="2959"/>
    </row>
    <row r="108" spans="1:32" s="131" customFormat="1" ht="60" customHeight="1">
      <c r="A108" s="140" t="s">
        <v>586</v>
      </c>
      <c r="B108" s="3949" t="s">
        <v>6326</v>
      </c>
      <c r="C108" s="3949"/>
      <c r="D108" s="3949"/>
      <c r="E108" s="3949"/>
      <c r="F108" s="3949"/>
      <c r="G108" s="3949"/>
      <c r="H108" s="3949"/>
      <c r="I108" s="3949"/>
      <c r="J108" s="3949"/>
      <c r="K108" s="3949"/>
      <c r="L108" s="3949"/>
      <c r="M108" s="3949"/>
      <c r="N108" s="3949"/>
      <c r="O108" s="1490" t="s">
        <v>6328</v>
      </c>
      <c r="P108" s="2657" t="s">
        <v>2769</v>
      </c>
      <c r="Q108" s="2960"/>
      <c r="AE108" s="442"/>
      <c r="AF108" s="442"/>
    </row>
    <row r="109" spans="1:32" s="42" customFormat="1" ht="12.75" customHeight="1">
      <c r="A109" s="47"/>
      <c r="B109" s="1305" t="s">
        <v>1659</v>
      </c>
      <c r="C109" s="52" t="s">
        <v>4277</v>
      </c>
      <c r="D109" s="132"/>
      <c r="E109" s="132"/>
      <c r="F109" s="132"/>
      <c r="G109" s="132"/>
      <c r="H109" s="132"/>
      <c r="K109" s="132"/>
      <c r="L109" s="2659"/>
      <c r="M109" s="2659"/>
      <c r="O109" s="439" t="s">
        <v>1659</v>
      </c>
      <c r="P109" s="2671" t="s">
        <v>2772</v>
      </c>
      <c r="Q109" s="2954"/>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71.25" customHeight="1">
      <c r="A111" s="3963" t="s">
        <v>6994</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70"/>
      <c r="B113" s="3971"/>
      <c r="C113" s="3971"/>
      <c r="D113" s="3971"/>
      <c r="E113" s="3971"/>
      <c r="F113" s="3971"/>
      <c r="G113" s="3971"/>
      <c r="H113" s="3971"/>
      <c r="I113" s="3971"/>
      <c r="J113" s="3971"/>
      <c r="K113" s="3971"/>
      <c r="L113" s="3971"/>
      <c r="M113" s="3971"/>
      <c r="N113" s="3971"/>
      <c r="O113" s="3971"/>
      <c r="P113" s="3971"/>
      <c r="Q113" s="3972"/>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1"/>
      <c r="Q114" s="3962"/>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3995"/>
      <c r="N117" s="3996"/>
      <c r="O117" s="3996"/>
      <c r="P117" s="3574"/>
      <c r="Q117" s="2953"/>
    </row>
    <row r="118" spans="1:32" s="42" customFormat="1" ht="12.75" customHeight="1">
      <c r="B118" s="144" t="s">
        <v>1659</v>
      </c>
      <c r="C118" s="36" t="s">
        <v>4013</v>
      </c>
      <c r="O118" s="65" t="s">
        <v>1659</v>
      </c>
      <c r="P118" s="2668"/>
      <c r="Q118" s="2958"/>
      <c r="AE118" s="50"/>
      <c r="AF118" s="50"/>
    </row>
    <row r="119" spans="1:32" s="42" customFormat="1" ht="12.75" customHeight="1">
      <c r="B119" s="1305" t="s">
        <v>1660</v>
      </c>
      <c r="C119" s="36" t="s">
        <v>4258</v>
      </c>
      <c r="O119" s="147" t="s">
        <v>1660</v>
      </c>
      <c r="P119" s="2499"/>
      <c r="Q119" s="2961"/>
      <c r="AE119" s="50"/>
      <c r="AF119" s="50"/>
    </row>
    <row r="120" spans="1:32" ht="12.75" customHeight="1">
      <c r="A120" s="2672"/>
      <c r="B120" s="451" t="s">
        <v>2260</v>
      </c>
      <c r="C120" s="783" t="s">
        <v>3959</v>
      </c>
      <c r="D120" s="901"/>
      <c r="E120" s="901"/>
      <c r="F120" s="901"/>
      <c r="G120" s="901"/>
      <c r="H120" s="901"/>
      <c r="I120" s="901"/>
      <c r="J120" s="901"/>
      <c r="K120" s="901"/>
      <c r="L120" s="901"/>
      <c r="M120" s="901"/>
      <c r="O120" s="159" t="s">
        <v>2260</v>
      </c>
      <c r="P120" s="2500"/>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3"/>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3"/>
    </row>
    <row r="124" spans="1:32" s="131" customFormat="1" ht="23.25" customHeight="1">
      <c r="A124" s="420"/>
      <c r="B124" s="451" t="s">
        <v>489</v>
      </c>
      <c r="C124" s="3949" t="s">
        <v>4150</v>
      </c>
      <c r="D124" s="3949"/>
      <c r="E124" s="3949"/>
      <c r="F124" s="3949"/>
      <c r="G124" s="3949"/>
      <c r="H124" s="3949"/>
      <c r="I124" s="3949"/>
      <c r="J124" s="3949"/>
      <c r="K124" s="3949"/>
      <c r="L124" s="3949"/>
      <c r="M124" s="3949"/>
      <c r="N124" s="3949"/>
      <c r="O124" s="159" t="s">
        <v>489</v>
      </c>
      <c r="P124" s="2658"/>
      <c r="Q124" s="2962"/>
      <c r="AE124" s="442"/>
      <c r="AF124" s="442"/>
    </row>
    <row r="125" spans="1:32" ht="12.75" customHeight="1">
      <c r="A125" s="47" t="s">
        <v>1895</v>
      </c>
      <c r="B125" s="52" t="s">
        <v>4149</v>
      </c>
      <c r="C125" s="52"/>
      <c r="E125" s="52"/>
      <c r="F125" s="52"/>
      <c r="G125" s="52"/>
      <c r="H125" s="52"/>
      <c r="I125" s="52"/>
      <c r="J125" s="52"/>
      <c r="K125" s="52"/>
      <c r="L125" s="52"/>
      <c r="M125" s="52"/>
      <c r="O125" s="439" t="s">
        <v>1895</v>
      </c>
      <c r="P125" s="2668" t="s">
        <v>2772</v>
      </c>
      <c r="Q125" s="2958"/>
    </row>
    <row r="126" spans="1:32" ht="12.75" customHeight="1">
      <c r="B126" s="1305" t="s">
        <v>1658</v>
      </c>
      <c r="C126" s="52" t="s">
        <v>4280</v>
      </c>
      <c r="D126" s="52"/>
      <c r="E126" s="52"/>
      <c r="F126" s="52"/>
      <c r="G126" s="52"/>
      <c r="H126" s="52"/>
      <c r="I126" s="52"/>
      <c r="J126" s="52"/>
      <c r="K126" s="52"/>
      <c r="L126" s="52"/>
      <c r="M126" s="52"/>
      <c r="O126" s="147" t="s">
        <v>1658</v>
      </c>
      <c r="P126" s="2668"/>
      <c r="Q126" s="2958"/>
    </row>
    <row r="127" spans="1:32" ht="12.75" customHeight="1">
      <c r="A127" s="47"/>
      <c r="B127" s="144" t="s">
        <v>1659</v>
      </c>
      <c r="C127" s="52" t="s">
        <v>4279</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22.5" customHeight="1">
      <c r="A129" s="3963" t="s">
        <v>6924</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70"/>
      <c r="B131" s="3971"/>
      <c r="C131" s="3971"/>
      <c r="D131" s="3971"/>
      <c r="E131" s="3971"/>
      <c r="F131" s="3971"/>
      <c r="G131" s="3971"/>
      <c r="H131" s="3971"/>
      <c r="I131" s="3971"/>
      <c r="J131" s="3971"/>
      <c r="K131" s="3971"/>
      <c r="L131" s="3971"/>
      <c r="M131" s="3971"/>
      <c r="N131" s="3971"/>
      <c r="O131" s="3971"/>
      <c r="P131" s="3971"/>
      <c r="Q131" s="3972"/>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1"/>
      <c r="Q132" s="3962"/>
    </row>
    <row r="133" spans="1:31" ht="6.6" customHeight="1"/>
    <row r="134" spans="1:31">
      <c r="A134" s="47" t="s">
        <v>1893</v>
      </c>
      <c r="B134" s="52" t="s">
        <v>6440</v>
      </c>
      <c r="D134" s="132"/>
      <c r="E134" s="132"/>
      <c r="F134" s="132"/>
      <c r="G134" s="132"/>
      <c r="H134" s="132"/>
      <c r="I134" s="42"/>
      <c r="J134" s="42"/>
      <c r="K134" s="439" t="s">
        <v>1893</v>
      </c>
      <c r="L134" s="4107" t="s">
        <v>6925</v>
      </c>
      <c r="M134" s="4107"/>
      <c r="N134" s="4107"/>
      <c r="O134" s="4107"/>
      <c r="P134" s="4107"/>
      <c r="Q134" s="2955"/>
    </row>
    <row r="135" spans="1:31" ht="12" customHeight="1">
      <c r="B135" s="55" t="s">
        <v>6441</v>
      </c>
      <c r="O135" s="65" t="s">
        <v>1659</v>
      </c>
      <c r="P135" s="2500" t="s">
        <v>2772</v>
      </c>
      <c r="Q135" s="2964"/>
    </row>
    <row r="136" spans="1:31" ht="12" customHeight="1">
      <c r="A136" s="47" t="s">
        <v>1895</v>
      </c>
      <c r="B136" s="52" t="s">
        <v>1476</v>
      </c>
      <c r="D136" s="132"/>
      <c r="E136" s="132"/>
      <c r="F136" s="132"/>
      <c r="G136" s="132"/>
      <c r="H136" s="132"/>
      <c r="I136" s="42"/>
      <c r="J136" s="42"/>
      <c r="K136" s="132"/>
      <c r="L136" s="2659"/>
      <c r="O136" s="439" t="s">
        <v>1895</v>
      </c>
      <c r="P136" s="2500" t="s">
        <v>2772</v>
      </c>
      <c r="Q136" s="2964"/>
    </row>
    <row r="137" spans="1:31" ht="12" customHeight="1">
      <c r="A137" s="47" t="s">
        <v>719</v>
      </c>
      <c r="B137" s="52" t="s">
        <v>143</v>
      </c>
      <c r="D137" s="132"/>
      <c r="E137" s="132"/>
      <c r="F137" s="132"/>
      <c r="G137" s="132"/>
      <c r="H137" s="132"/>
      <c r="I137" s="42"/>
      <c r="J137" s="42"/>
      <c r="K137" s="2659"/>
      <c r="L137" s="2659"/>
      <c r="O137" s="439" t="s">
        <v>719</v>
      </c>
      <c r="P137" s="2671" t="s">
        <v>2769</v>
      </c>
      <c r="Q137" s="2965"/>
    </row>
    <row r="138" spans="1:31" ht="12" customHeight="1">
      <c r="A138" s="47"/>
      <c r="B138" s="783" t="s">
        <v>1658</v>
      </c>
      <c r="C138" s="52" t="s">
        <v>2540</v>
      </c>
      <c r="E138" s="132"/>
      <c r="F138" s="132"/>
      <c r="G138" s="132"/>
      <c r="H138" s="132"/>
      <c r="I138" s="42"/>
      <c r="J138" s="42"/>
      <c r="K138" s="65" t="s">
        <v>1658</v>
      </c>
      <c r="L138" s="4107" t="s">
        <v>6925</v>
      </c>
      <c r="M138" s="4107"/>
      <c r="N138" s="4107"/>
      <c r="O138" s="4107"/>
      <c r="P138" s="4107"/>
      <c r="Q138" s="2955"/>
    </row>
    <row r="139" spans="1:31" ht="12" customHeight="1">
      <c r="A139" s="137"/>
      <c r="B139" s="144" t="s">
        <v>1659</v>
      </c>
      <c r="C139" s="36" t="s">
        <v>3201</v>
      </c>
      <c r="E139" s="42"/>
      <c r="F139" s="42"/>
      <c r="G139" s="42"/>
      <c r="H139" s="52"/>
      <c r="I139" s="42"/>
      <c r="J139" s="42"/>
      <c r="K139" s="132"/>
      <c r="L139" s="2659"/>
      <c r="M139" s="2659"/>
      <c r="O139" s="439" t="s">
        <v>1659</v>
      </c>
      <c r="P139" s="2668" t="s">
        <v>6989</v>
      </c>
      <c r="Q139" s="2958"/>
    </row>
    <row r="140" spans="1:31" ht="12" customHeight="1">
      <c r="A140" s="137"/>
      <c r="B140" s="40" t="s">
        <v>1660</v>
      </c>
      <c r="C140" s="36" t="s">
        <v>3945</v>
      </c>
      <c r="D140" s="146"/>
      <c r="E140" s="42"/>
      <c r="F140" s="42"/>
      <c r="G140" s="42"/>
      <c r="H140" s="52"/>
      <c r="I140" s="42"/>
      <c r="J140" s="42"/>
      <c r="K140" s="132"/>
      <c r="L140" s="2659"/>
      <c r="M140" s="2659"/>
      <c r="O140" s="439" t="s">
        <v>1660</v>
      </c>
      <c r="P140" s="2671" t="s">
        <v>6922</v>
      </c>
      <c r="Q140" s="2954"/>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2772</v>
      </c>
      <c r="G142" s="2952"/>
      <c r="H142" s="439" t="s">
        <v>4040</v>
      </c>
      <c r="I142" s="52" t="s">
        <v>6330</v>
      </c>
      <c r="K142" s="2668" t="s">
        <v>2772</v>
      </c>
      <c r="L142" s="2958"/>
      <c r="M142" s="439" t="s">
        <v>4044</v>
      </c>
      <c r="N142" s="55" t="s">
        <v>3418</v>
      </c>
      <c r="O142" s="2659"/>
      <c r="P142" s="2492" t="s">
        <v>2772</v>
      </c>
      <c r="Q142" s="2952"/>
    </row>
    <row r="143" spans="1:31" ht="12.75" customHeight="1">
      <c r="B143" s="144" t="s">
        <v>1659</v>
      </c>
      <c r="C143" s="52" t="s">
        <v>6442</v>
      </c>
      <c r="E143" s="132"/>
      <c r="F143" s="2666" t="s">
        <v>2772</v>
      </c>
      <c r="G143" s="2953"/>
      <c r="H143" s="439" t="s">
        <v>4041</v>
      </c>
      <c r="I143" s="52" t="s">
        <v>6331</v>
      </c>
      <c r="K143" s="2666" t="s">
        <v>2772</v>
      </c>
      <c r="L143" s="2953"/>
      <c r="M143" s="439" t="s">
        <v>4045</v>
      </c>
      <c r="N143" s="52" t="s">
        <v>1489</v>
      </c>
      <c r="P143" s="2666" t="s">
        <v>2772</v>
      </c>
      <c r="Q143" s="2953"/>
    </row>
    <row r="144" spans="1:31" ht="12" customHeight="1">
      <c r="A144" s="36"/>
      <c r="B144" s="144" t="s">
        <v>1660</v>
      </c>
      <c r="C144" s="52" t="s">
        <v>6443</v>
      </c>
      <c r="E144" s="132"/>
      <c r="F144" s="2666" t="s">
        <v>2772</v>
      </c>
      <c r="G144" s="2953"/>
      <c r="H144" s="439" t="s">
        <v>4042</v>
      </c>
      <c r="I144" s="55" t="s">
        <v>6444</v>
      </c>
      <c r="K144" s="2671" t="s">
        <v>2772</v>
      </c>
      <c r="L144" s="2954"/>
      <c r="M144" s="439" t="s">
        <v>6445</v>
      </c>
      <c r="N144" s="55" t="s">
        <v>6332</v>
      </c>
      <c r="P144" s="2666" t="s">
        <v>2772</v>
      </c>
      <c r="Q144" s="2953"/>
    </row>
    <row r="145" spans="1:32" ht="12" customHeight="1">
      <c r="A145" s="36"/>
      <c r="B145" s="144" t="s">
        <v>2260</v>
      </c>
      <c r="C145" s="55" t="s">
        <v>2503</v>
      </c>
      <c r="E145" s="132"/>
      <c r="F145" s="2666" t="s">
        <v>2772</v>
      </c>
      <c r="G145" s="2953"/>
      <c r="H145" s="439" t="s">
        <v>4043</v>
      </c>
      <c r="I145" s="3949" t="s">
        <v>6447</v>
      </c>
      <c r="J145" s="3949"/>
      <c r="K145" s="784"/>
      <c r="M145" s="439" t="s">
        <v>6446</v>
      </c>
      <c r="N145" s="52" t="s">
        <v>141</v>
      </c>
      <c r="P145" s="2671" t="s">
        <v>2772</v>
      </c>
      <c r="Q145" s="2954"/>
    </row>
    <row r="146" spans="1:32" ht="12" customHeight="1">
      <c r="A146" s="36"/>
      <c r="B146" s="439" t="s">
        <v>4039</v>
      </c>
      <c r="C146" s="52" t="s">
        <v>2611</v>
      </c>
      <c r="E146" s="132"/>
      <c r="F146" s="2671" t="s">
        <v>2772</v>
      </c>
      <c r="G146" s="2954"/>
      <c r="I146" s="3949"/>
      <c r="J146" s="3949"/>
      <c r="K146" s="2493" t="s">
        <v>2772</v>
      </c>
      <c r="L146" s="2955"/>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3987" t="s">
        <v>2933</v>
      </c>
      <c r="D148" s="3987"/>
      <c r="E148" s="3987"/>
      <c r="F148" s="3987"/>
      <c r="G148" s="3987"/>
      <c r="H148" s="3987"/>
      <c r="I148" s="3987"/>
      <c r="J148" s="3987"/>
      <c r="K148" s="3987"/>
      <c r="L148" s="3987"/>
      <c r="M148" s="3987"/>
      <c r="N148" s="3987"/>
      <c r="O148" s="3987"/>
      <c r="P148" s="3987"/>
      <c r="Q148" s="3987"/>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52"/>
    </row>
    <row r="151" spans="1:32" ht="12.75" customHeight="1">
      <c r="A151" s="2672"/>
      <c r="B151" s="144" t="s">
        <v>1659</v>
      </c>
      <c r="C151" s="52" t="s">
        <v>469</v>
      </c>
      <c r="E151" s="52"/>
      <c r="F151" s="52"/>
      <c r="G151" s="52"/>
      <c r="H151" s="52"/>
      <c r="I151" s="42"/>
      <c r="J151" s="42"/>
      <c r="K151" s="52"/>
      <c r="L151" s="52"/>
      <c r="M151" s="52"/>
      <c r="O151" s="65" t="s">
        <v>1659</v>
      </c>
      <c r="P151" s="2666"/>
      <c r="Q151" s="2953"/>
    </row>
    <row r="152" spans="1:32" ht="12.75" customHeight="1">
      <c r="A152" s="2672"/>
      <c r="B152" s="144" t="s">
        <v>1660</v>
      </c>
      <c r="C152" s="52" t="s">
        <v>651</v>
      </c>
      <c r="E152" s="52"/>
      <c r="F152" s="52"/>
      <c r="G152" s="52"/>
      <c r="H152" s="52"/>
      <c r="I152" s="42"/>
      <c r="J152" s="42"/>
      <c r="K152" s="52"/>
      <c r="L152" s="52"/>
      <c r="M152" s="52"/>
      <c r="O152" s="65" t="s">
        <v>1660</v>
      </c>
      <c r="P152" s="2666"/>
      <c r="Q152" s="2953"/>
    </row>
    <row r="153" spans="1:32" ht="12.75" customHeight="1">
      <c r="A153" s="2672"/>
      <c r="B153" s="40" t="s">
        <v>2260</v>
      </c>
      <c r="C153" s="52" t="s">
        <v>4026</v>
      </c>
      <c r="E153" s="52"/>
      <c r="F153" s="52"/>
      <c r="G153" s="52"/>
      <c r="H153" s="52"/>
      <c r="I153" s="42"/>
      <c r="J153" s="42"/>
      <c r="K153" s="52"/>
      <c r="L153" s="52"/>
      <c r="M153" s="52"/>
      <c r="O153" s="439" t="s">
        <v>2260</v>
      </c>
      <c r="P153" s="2671"/>
      <c r="Q153" s="2954"/>
    </row>
    <row r="154" spans="1:32" ht="12" customHeight="1">
      <c r="A154" s="399" t="s">
        <v>4151</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9" t="s">
        <v>140</v>
      </c>
      <c r="C155" s="3949"/>
      <c r="D155" s="3949"/>
      <c r="E155" s="3949"/>
      <c r="F155" s="3949"/>
      <c r="G155" s="3949"/>
      <c r="H155" s="3949"/>
      <c r="I155" s="3949"/>
      <c r="J155" s="3949"/>
      <c r="K155" s="3949"/>
      <c r="L155" s="3949"/>
      <c r="M155" s="439" t="s">
        <v>1858</v>
      </c>
      <c r="N155" s="4103" t="s">
        <v>1691</v>
      </c>
      <c r="O155" s="4104"/>
      <c r="P155" s="4105" t="s">
        <v>1691</v>
      </c>
      <c r="Q155" s="4106"/>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45" customHeight="1">
      <c r="A157" s="3963" t="s">
        <v>6990</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70"/>
      <c r="B160" s="3971"/>
      <c r="C160" s="3971"/>
      <c r="D160" s="3971"/>
      <c r="E160" s="3971"/>
      <c r="F160" s="3971"/>
      <c r="G160" s="3971"/>
      <c r="H160" s="3971"/>
      <c r="I160" s="3971"/>
      <c r="J160" s="3971"/>
      <c r="K160" s="3971"/>
      <c r="L160" s="3971"/>
      <c r="M160" s="3971"/>
      <c r="N160" s="3971"/>
      <c r="O160" s="3971"/>
      <c r="P160" s="3971"/>
      <c r="Q160" s="3972"/>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1"/>
      <c r="Q162" s="3962"/>
    </row>
    <row r="163" spans="1:31" ht="12" customHeight="1">
      <c r="A163" s="47" t="s">
        <v>1893</v>
      </c>
      <c r="B163" s="144" t="s">
        <v>1658</v>
      </c>
      <c r="C163" s="52" t="s">
        <v>6333</v>
      </c>
      <c r="D163" s="52"/>
      <c r="E163" s="52"/>
      <c r="F163" s="52"/>
      <c r="G163" s="52"/>
      <c r="K163" s="52" t="s">
        <v>2555</v>
      </c>
      <c r="M163" s="4084">
        <v>44561</v>
      </c>
      <c r="N163" s="4085"/>
      <c r="O163" s="65" t="s">
        <v>1658</v>
      </c>
      <c r="P163" s="2489" t="s">
        <v>2769</v>
      </c>
      <c r="Q163" s="2966"/>
    </row>
    <row r="164" spans="1:31" ht="12" customHeight="1">
      <c r="A164" s="47"/>
      <c r="B164" s="144" t="s">
        <v>1659</v>
      </c>
      <c r="C164" s="52" t="s">
        <v>4259</v>
      </c>
      <c r="D164" s="52"/>
      <c r="E164" s="52"/>
      <c r="F164" s="52"/>
      <c r="G164" s="52"/>
      <c r="K164" s="52" t="s">
        <v>2555</v>
      </c>
      <c r="M164" s="4084"/>
      <c r="N164" s="4085"/>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6" t="s">
        <v>6926</v>
      </c>
      <c r="N165" s="4087"/>
      <c r="P165" s="4088" t="s">
        <v>1691</v>
      </c>
      <c r="Q165" s="4089"/>
    </row>
    <row r="166" spans="1:31" ht="12" customHeight="1">
      <c r="A166" s="47" t="s">
        <v>719</v>
      </c>
      <c r="B166" s="138" t="s">
        <v>652</v>
      </c>
      <c r="D166" s="138"/>
      <c r="E166" s="138"/>
      <c r="F166" s="138"/>
      <c r="G166" s="138"/>
      <c r="H166" s="138"/>
      <c r="J166" s="439" t="s">
        <v>719</v>
      </c>
      <c r="K166" s="3995" t="s">
        <v>6875</v>
      </c>
      <c r="L166" s="3996"/>
      <c r="M166" s="3996"/>
      <c r="N166" s="3996"/>
      <c r="O166" s="3996"/>
      <c r="P166" s="3997"/>
      <c r="Q166" s="2966"/>
    </row>
    <row r="167" spans="1:31" ht="21.75" customHeight="1">
      <c r="A167" s="140" t="s">
        <v>2021</v>
      </c>
      <c r="B167" s="3949" t="s">
        <v>6448</v>
      </c>
      <c r="C167" s="3949"/>
      <c r="D167" s="3949"/>
      <c r="E167" s="3949"/>
      <c r="F167" s="3949"/>
      <c r="G167" s="3949"/>
      <c r="H167" s="3949"/>
      <c r="I167" s="3949"/>
      <c r="J167" s="3949"/>
      <c r="K167" s="3949"/>
      <c r="L167" s="3949"/>
      <c r="M167" s="3949"/>
      <c r="N167" s="3949"/>
      <c r="O167" s="159" t="s">
        <v>2021</v>
      </c>
      <c r="P167" s="2658" t="s">
        <v>6869</v>
      </c>
      <c r="Q167" s="2962"/>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11.45" customHeight="1">
      <c r="A169" s="3963" t="s">
        <v>6965</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70"/>
      <c r="B171" s="3971"/>
      <c r="C171" s="3971"/>
      <c r="D171" s="3971"/>
      <c r="E171" s="3971"/>
      <c r="F171" s="3971"/>
      <c r="G171" s="3971"/>
      <c r="H171" s="3971"/>
      <c r="I171" s="3971"/>
      <c r="J171" s="3971"/>
      <c r="K171" s="3971"/>
      <c r="L171" s="3971"/>
      <c r="M171" s="3971"/>
      <c r="N171" s="3971"/>
      <c r="O171" s="3971"/>
      <c r="P171" s="3971"/>
      <c r="Q171" s="3972"/>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1"/>
      <c r="Q173" s="3962"/>
    </row>
    <row r="174" spans="1:31" ht="21.75" customHeight="1">
      <c r="A174" s="140" t="s">
        <v>1893</v>
      </c>
      <c r="B174" s="3949" t="s">
        <v>3366</v>
      </c>
      <c r="C174" s="3949"/>
      <c r="D174" s="3949"/>
      <c r="E174" s="3949"/>
      <c r="F174" s="3949"/>
      <c r="G174" s="3949"/>
      <c r="H174" s="3949"/>
      <c r="I174" s="3949"/>
      <c r="J174" s="3949"/>
      <c r="K174" s="3949"/>
      <c r="L174" s="3949"/>
      <c r="M174" s="3949"/>
      <c r="N174" s="3949"/>
      <c r="O174" s="159" t="s">
        <v>1893</v>
      </c>
      <c r="P174" s="2502" t="s">
        <v>2769</v>
      </c>
      <c r="Q174" s="2967"/>
    </row>
    <row r="175" spans="1:31" ht="22.35" customHeight="1">
      <c r="A175" s="140" t="s">
        <v>1895</v>
      </c>
      <c r="B175" s="3949" t="s">
        <v>3960</v>
      </c>
      <c r="C175" s="3949"/>
      <c r="D175" s="3949"/>
      <c r="E175" s="3949"/>
      <c r="F175" s="3949"/>
      <c r="G175" s="3949"/>
      <c r="H175" s="3949"/>
      <c r="I175" s="3949"/>
      <c r="J175" s="3949"/>
      <c r="K175" s="3949"/>
      <c r="L175" s="3949"/>
      <c r="M175" s="3949"/>
      <c r="N175" s="3949"/>
      <c r="O175" s="159" t="s">
        <v>1895</v>
      </c>
      <c r="P175" s="2657" t="s">
        <v>6922</v>
      </c>
      <c r="Q175" s="2960"/>
    </row>
    <row r="176" spans="1:31" ht="22.35" customHeight="1">
      <c r="A176" s="140" t="s">
        <v>719</v>
      </c>
      <c r="B176" s="3949" t="s">
        <v>3367</v>
      </c>
      <c r="C176" s="3949"/>
      <c r="D176" s="3949"/>
      <c r="E176" s="3949"/>
      <c r="F176" s="3949"/>
      <c r="G176" s="3949"/>
      <c r="H176" s="3949"/>
      <c r="I176" s="3949"/>
      <c r="J176" s="3949"/>
      <c r="K176" s="3949"/>
      <c r="L176" s="3949"/>
      <c r="M176" s="3949"/>
      <c r="N176" s="3949"/>
      <c r="O176" s="159" t="s">
        <v>719</v>
      </c>
      <c r="P176" s="2657" t="s">
        <v>6922</v>
      </c>
      <c r="Q176" s="2960"/>
    </row>
    <row r="177" spans="1:32" ht="21.75" customHeight="1">
      <c r="A177" s="140" t="s">
        <v>2021</v>
      </c>
      <c r="B177" s="3949" t="s">
        <v>4008</v>
      </c>
      <c r="C177" s="3949"/>
      <c r="D177" s="3949"/>
      <c r="E177" s="3949"/>
      <c r="F177" s="3949"/>
      <c r="G177" s="3949"/>
      <c r="H177" s="3949"/>
      <c r="I177" s="3949"/>
      <c r="J177" s="3949"/>
      <c r="K177" s="3949"/>
      <c r="L177" s="3949"/>
      <c r="M177" s="3949"/>
      <c r="N177" s="3949"/>
      <c r="O177" s="159" t="s">
        <v>2021</v>
      </c>
      <c r="P177" s="2658" t="s">
        <v>6922</v>
      </c>
      <c r="Q177" s="2962"/>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11.45" customHeight="1">
      <c r="A179" s="3963" t="s">
        <v>6966</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70"/>
      <c r="B181" s="3971"/>
      <c r="C181" s="3971"/>
      <c r="D181" s="3971"/>
      <c r="E181" s="3971"/>
      <c r="F181" s="3971"/>
      <c r="G181" s="3971"/>
      <c r="H181" s="3971"/>
      <c r="I181" s="3971"/>
      <c r="J181" s="3971"/>
      <c r="K181" s="3971"/>
      <c r="L181" s="3971"/>
      <c r="M181" s="3971"/>
      <c r="N181" s="3971"/>
      <c r="O181" s="3971"/>
      <c r="P181" s="3971"/>
      <c r="Q181" s="3972"/>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6" t="s">
        <v>2516</v>
      </c>
      <c r="C183" s="3856"/>
      <c r="D183" s="3856"/>
      <c r="F183" s="380" t="s">
        <v>6378</v>
      </c>
      <c r="O183" s="130" t="s">
        <v>1781</v>
      </c>
      <c r="P183" s="3961"/>
      <c r="Q183" s="3962"/>
    </row>
    <row r="184" spans="1:32" s="27" customFormat="1" ht="11.45" customHeight="1">
      <c r="B184" s="55" t="s">
        <v>6449</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6334</v>
      </c>
      <c r="D186" s="773"/>
      <c r="E186" s="773"/>
      <c r="F186" s="773"/>
      <c r="G186" s="773"/>
      <c r="H186" s="773"/>
      <c r="I186" s="773"/>
      <c r="J186" s="773"/>
      <c r="K186" s="773"/>
      <c r="L186" s="773"/>
      <c r="M186" s="773"/>
      <c r="O186" s="159" t="s">
        <v>1895</v>
      </c>
      <c r="P186" s="2666" t="s">
        <v>2769</v>
      </c>
      <c r="Q186" s="2953"/>
    </row>
    <row r="187" spans="1:32" ht="12" customHeight="1">
      <c r="A187" s="140" t="s">
        <v>719</v>
      </c>
      <c r="B187" s="773" t="s">
        <v>2504</v>
      </c>
      <c r="D187" s="773"/>
      <c r="E187" s="773"/>
      <c r="F187" s="773"/>
      <c r="G187" s="773"/>
      <c r="H187" s="773"/>
      <c r="I187" s="773"/>
      <c r="J187" s="138" t="s">
        <v>4010</v>
      </c>
      <c r="L187" s="773"/>
      <c r="M187" s="773"/>
      <c r="O187" s="159" t="s">
        <v>719</v>
      </c>
      <c r="P187" s="2666" t="s">
        <v>2769</v>
      </c>
      <c r="Q187" s="2953"/>
    </row>
    <row r="188" spans="1:32" ht="12" customHeight="1">
      <c r="B188" s="40" t="s">
        <v>1658</v>
      </c>
      <c r="C188" s="783" t="s">
        <v>2505</v>
      </c>
      <c r="G188" s="773"/>
      <c r="H188" s="773"/>
      <c r="J188" s="773"/>
      <c r="K188" s="773"/>
      <c r="L188" s="773"/>
      <c r="M188" s="773"/>
      <c r="O188" s="425" t="s">
        <v>1658</v>
      </c>
      <c r="P188" s="2666" t="s">
        <v>2769</v>
      </c>
      <c r="Q188" s="2953"/>
    </row>
    <row r="189" spans="1:32" ht="12" customHeight="1">
      <c r="A189" s="138"/>
      <c r="B189" s="40" t="s">
        <v>1659</v>
      </c>
      <c r="C189" s="783" t="s">
        <v>2506</v>
      </c>
      <c r="G189" s="773"/>
      <c r="H189" s="773"/>
      <c r="I189" s="773"/>
      <c r="J189" s="773"/>
      <c r="K189" s="773"/>
      <c r="L189" s="773"/>
      <c r="M189" s="773"/>
      <c r="O189" s="425" t="s">
        <v>1659</v>
      </c>
      <c r="P189" s="2666" t="s">
        <v>2769</v>
      </c>
      <c r="Q189" s="2953"/>
    </row>
    <row r="190" spans="1:32" s="131" customFormat="1" ht="21.75" customHeight="1">
      <c r="A190" s="140"/>
      <c r="B190" s="451" t="s">
        <v>1660</v>
      </c>
      <c r="C190" s="3949" t="s">
        <v>3368</v>
      </c>
      <c r="D190" s="3949"/>
      <c r="E190" s="3949"/>
      <c r="F190" s="3949"/>
      <c r="G190" s="3949"/>
      <c r="H190" s="3949"/>
      <c r="I190" s="3949"/>
      <c r="J190" s="3949"/>
      <c r="K190" s="3949"/>
      <c r="L190" s="3949"/>
      <c r="M190" s="3949"/>
      <c r="N190" s="3949"/>
      <c r="O190" s="159" t="s">
        <v>1660</v>
      </c>
      <c r="P190" s="2657"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3"/>
    </row>
    <row r="192" spans="1:32" s="131" customFormat="1" ht="21.75" customHeight="1">
      <c r="A192" s="140"/>
      <c r="B192" s="451" t="s">
        <v>1487</v>
      </c>
      <c r="C192" s="3949" t="s">
        <v>2508</v>
      </c>
      <c r="D192" s="3949"/>
      <c r="E192" s="3949"/>
      <c r="F192" s="3949"/>
      <c r="G192" s="3949"/>
      <c r="H192" s="3949"/>
      <c r="I192" s="3949"/>
      <c r="J192" s="3949"/>
      <c r="K192" s="3949"/>
      <c r="L192" s="3949"/>
      <c r="M192" s="3949"/>
      <c r="N192" s="3949"/>
      <c r="O192" s="159" t="s">
        <v>1487</v>
      </c>
      <c r="P192" s="2657" t="s">
        <v>6922</v>
      </c>
      <c r="Q192" s="2960"/>
      <c r="AE192" s="442"/>
      <c r="AF192" s="442"/>
    </row>
    <row r="193" spans="1:32" s="131" customFormat="1" ht="21.75" customHeight="1">
      <c r="A193" s="140"/>
      <c r="B193" s="451" t="s">
        <v>1488</v>
      </c>
      <c r="C193" s="3949" t="s">
        <v>3446</v>
      </c>
      <c r="D193" s="3949"/>
      <c r="E193" s="3949"/>
      <c r="F193" s="3949"/>
      <c r="G193" s="3949"/>
      <c r="H193" s="3949"/>
      <c r="I193" s="3949"/>
      <c r="J193" s="3949"/>
      <c r="K193" s="3949"/>
      <c r="L193" s="3949"/>
      <c r="M193" s="3949"/>
      <c r="N193" s="3949"/>
      <c r="O193" s="159" t="s">
        <v>1488</v>
      </c>
      <c r="P193" s="2657" t="s">
        <v>6922</v>
      </c>
      <c r="Q193" s="2960"/>
      <c r="AE193" s="442"/>
      <c r="AF193" s="442"/>
    </row>
    <row r="194" spans="1:32" ht="21.75" customHeight="1">
      <c r="A194" s="140" t="s">
        <v>2021</v>
      </c>
      <c r="B194" s="3949" t="s">
        <v>2509</v>
      </c>
      <c r="C194" s="3949"/>
      <c r="D194" s="3949"/>
      <c r="E194" s="3949"/>
      <c r="F194" s="3949"/>
      <c r="G194" s="3949"/>
      <c r="H194" s="3949"/>
      <c r="I194" s="3949"/>
      <c r="J194" s="3949"/>
      <c r="K194" s="3949"/>
      <c r="L194" s="3949"/>
      <c r="M194" s="3949"/>
      <c r="N194" s="3949"/>
      <c r="O194" s="159" t="s">
        <v>2021</v>
      </c>
      <c r="P194" s="2657"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4"/>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11.45" customHeight="1">
      <c r="A197" s="3963" t="s">
        <v>6984</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70"/>
      <c r="B199" s="3971"/>
      <c r="C199" s="3971"/>
      <c r="D199" s="3971"/>
      <c r="E199" s="3971"/>
      <c r="F199" s="3971"/>
      <c r="G199" s="3971"/>
      <c r="H199" s="3971"/>
      <c r="I199" s="3971"/>
      <c r="J199" s="3971"/>
      <c r="K199" s="3971"/>
      <c r="L199" s="3971"/>
      <c r="M199" s="3971"/>
      <c r="N199" s="3971"/>
      <c r="O199" s="3971"/>
      <c r="P199" s="3971"/>
      <c r="Q199" s="3972"/>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6378</v>
      </c>
      <c r="G201" s="2655"/>
      <c r="J201" s="784"/>
      <c r="K201" s="784"/>
      <c r="L201" s="784"/>
      <c r="M201" s="784"/>
      <c r="N201" s="784"/>
      <c r="O201" s="130" t="s">
        <v>1781</v>
      </c>
      <c r="P201" s="3961"/>
      <c r="Q201" s="3962"/>
    </row>
    <row r="202" spans="1:32" s="27" customFormat="1" ht="12.75" customHeight="1">
      <c r="B202" s="55" t="s">
        <v>6449</v>
      </c>
      <c r="N202" s="119"/>
      <c r="P202" s="2489" t="s">
        <v>2772</v>
      </c>
      <c r="Q202" s="2966"/>
      <c r="AE202" s="115"/>
      <c r="AF202" s="115"/>
    </row>
    <row r="203" spans="1:32" ht="33.75" customHeight="1">
      <c r="B203" s="3960" t="s">
        <v>6335</v>
      </c>
      <c r="C203" s="3960"/>
      <c r="D203" s="3960"/>
      <c r="E203" s="3960"/>
      <c r="F203" s="3960"/>
      <c r="G203" s="3960"/>
      <c r="H203" s="3960"/>
      <c r="I203" s="3960"/>
      <c r="J203" s="3960"/>
      <c r="K203" s="3960"/>
      <c r="L203" s="3960"/>
      <c r="M203" s="3960"/>
      <c r="N203" s="3960"/>
      <c r="O203" s="3960"/>
      <c r="P203" s="963"/>
      <c r="Q203" s="963"/>
    </row>
    <row r="204" spans="1:32" ht="12.75" customHeight="1">
      <c r="A204" s="137"/>
      <c r="B204" s="138" t="s">
        <v>91</v>
      </c>
      <c r="D204" s="138"/>
      <c r="E204" s="138"/>
      <c r="F204" s="138"/>
      <c r="G204" s="138"/>
      <c r="H204" s="65" t="s">
        <v>1658</v>
      </c>
      <c r="I204" s="52" t="s">
        <v>144</v>
      </c>
      <c r="J204" s="3954"/>
      <c r="K204" s="3955"/>
      <c r="L204" s="3955"/>
      <c r="M204" s="3955"/>
      <c r="N204" s="3956"/>
      <c r="O204" s="65" t="s">
        <v>1658</v>
      </c>
      <c r="P204" s="2492"/>
      <c r="Q204" s="2952"/>
    </row>
    <row r="205" spans="1:32" ht="12.75" customHeight="1">
      <c r="A205" s="137"/>
      <c r="B205" s="139" t="s">
        <v>3372</v>
      </c>
      <c r="C205" s="103"/>
      <c r="D205" s="103"/>
      <c r="E205" s="103"/>
      <c r="F205" s="103"/>
      <c r="H205" s="65" t="s">
        <v>1659</v>
      </c>
      <c r="I205" s="52" t="s">
        <v>1530</v>
      </c>
      <c r="J205" s="3957" t="s">
        <v>6927</v>
      </c>
      <c r="K205" s="3958"/>
      <c r="L205" s="3958"/>
      <c r="M205" s="3958"/>
      <c r="N205" s="3959"/>
      <c r="O205" s="65" t="s">
        <v>1659</v>
      </c>
      <c r="P205" s="2671" t="s">
        <v>2769</v>
      </c>
      <c r="Q205" s="2954"/>
    </row>
    <row r="206" spans="1:32" ht="12.75" customHeight="1">
      <c r="A206" s="3963" t="s">
        <v>6967</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70"/>
      <c r="B208" s="3971"/>
      <c r="C208" s="3971"/>
      <c r="D208" s="3971"/>
      <c r="E208" s="3971"/>
      <c r="F208" s="3971"/>
      <c r="G208" s="3971"/>
      <c r="H208" s="3971"/>
      <c r="I208" s="3971"/>
      <c r="J208" s="3971"/>
      <c r="K208" s="3971"/>
      <c r="L208" s="3971"/>
      <c r="M208" s="3971"/>
      <c r="N208" s="3971"/>
      <c r="O208" s="3971"/>
      <c r="P208" s="3971"/>
      <c r="Q208" s="3972"/>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6379</v>
      </c>
      <c r="J210" s="2655"/>
      <c r="K210" s="2655"/>
      <c r="L210" s="2655"/>
      <c r="M210" s="2655"/>
      <c r="O210" s="130" t="s">
        <v>1781</v>
      </c>
      <c r="P210" s="3961"/>
      <c r="Q210" s="3962"/>
    </row>
    <row r="211" spans="1:32" s="27" customFormat="1" ht="12.75" customHeight="1">
      <c r="B211" s="55" t="s">
        <v>6449</v>
      </c>
      <c r="N211" s="119"/>
      <c r="P211" s="2489" t="s">
        <v>2772</v>
      </c>
      <c r="Q211" s="2966"/>
      <c r="AE211" s="115"/>
      <c r="AF211" s="115"/>
    </row>
    <row r="212" spans="1:32" ht="12.75" customHeight="1">
      <c r="A212" s="140" t="s">
        <v>1893</v>
      </c>
      <c r="B212" s="3949" t="s">
        <v>1763</v>
      </c>
      <c r="C212" s="3949"/>
      <c r="D212" s="3949"/>
      <c r="E212" s="3949"/>
      <c r="F212" s="3949"/>
      <c r="G212" s="3949"/>
      <c r="H212" s="65" t="s">
        <v>1658</v>
      </c>
      <c r="I212" s="52" t="s">
        <v>605</v>
      </c>
      <c r="J212" s="3954" t="s">
        <v>6864</v>
      </c>
      <c r="K212" s="3955"/>
      <c r="L212" s="3955"/>
      <c r="M212" s="3955"/>
      <c r="N212" s="3956"/>
      <c r="O212" s="159" t="s">
        <v>1427</v>
      </c>
      <c r="P212" s="2668" t="s">
        <v>2769</v>
      </c>
      <c r="Q212" s="2958"/>
    </row>
    <row r="213" spans="1:32" ht="12.75" customHeight="1">
      <c r="A213" s="148"/>
      <c r="B213" s="3949"/>
      <c r="C213" s="3949"/>
      <c r="D213" s="3949"/>
      <c r="E213" s="3949"/>
      <c r="F213" s="3949"/>
      <c r="G213" s="3949"/>
      <c r="H213" s="65" t="s">
        <v>1659</v>
      </c>
      <c r="I213" s="52" t="s">
        <v>109</v>
      </c>
      <c r="J213" s="3957" t="s">
        <v>6864</v>
      </c>
      <c r="K213" s="3958"/>
      <c r="L213" s="3958"/>
      <c r="M213" s="3958"/>
      <c r="N213" s="3959"/>
      <c r="O213" s="159" t="s">
        <v>1659</v>
      </c>
      <c r="P213" s="2666" t="s">
        <v>2769</v>
      </c>
      <c r="Q213" s="2953"/>
    </row>
    <row r="214" spans="1:32" ht="12.75" customHeight="1">
      <c r="A214" s="140" t="s">
        <v>1895</v>
      </c>
      <c r="B214" s="52" t="s">
        <v>3450</v>
      </c>
      <c r="D214" s="52"/>
      <c r="E214" s="52"/>
      <c r="F214" s="52"/>
      <c r="G214" s="52"/>
      <c r="H214" s="52"/>
      <c r="I214" s="52"/>
      <c r="J214" s="52"/>
      <c r="K214" s="42"/>
      <c r="L214" s="52"/>
      <c r="M214" s="52"/>
      <c r="O214" s="439" t="s">
        <v>1895</v>
      </c>
      <c r="P214" s="2666"/>
      <c r="Q214" s="2953"/>
    </row>
    <row r="215" spans="1:32" ht="12.75" customHeight="1">
      <c r="A215" s="47" t="s">
        <v>719</v>
      </c>
      <c r="B215" s="52" t="s">
        <v>3451</v>
      </c>
      <c r="D215" s="52"/>
      <c r="E215" s="52"/>
      <c r="F215" s="52"/>
      <c r="G215" s="52"/>
      <c r="H215" s="52"/>
      <c r="I215" s="52"/>
      <c r="J215" s="52"/>
      <c r="K215" s="42"/>
      <c r="L215" s="52"/>
      <c r="M215" s="52"/>
      <c r="O215" s="439" t="s">
        <v>719</v>
      </c>
      <c r="P215" s="2671"/>
      <c r="Q215" s="2954"/>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12.75" customHeight="1">
      <c r="A217" s="3963" t="s">
        <v>6968</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70"/>
      <c r="B219" s="3971"/>
      <c r="C219" s="3971"/>
      <c r="D219" s="3971"/>
      <c r="E219" s="3971"/>
      <c r="F219" s="3971"/>
      <c r="G219" s="3971"/>
      <c r="H219" s="3971"/>
      <c r="I219" s="3971"/>
      <c r="J219" s="3971"/>
      <c r="K219" s="3971"/>
      <c r="L219" s="3971"/>
      <c r="M219" s="3971"/>
      <c r="N219" s="3971"/>
      <c r="O219" s="3971"/>
      <c r="P219" s="3971"/>
      <c r="Q219" s="3972"/>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6920</v>
      </c>
      <c r="Q223" s="2952"/>
    </row>
    <row r="224" spans="1:32" ht="12.75" customHeight="1">
      <c r="A224" s="47"/>
      <c r="B224" s="144" t="s">
        <v>1658</v>
      </c>
      <c r="C224" s="52" t="s">
        <v>1842</v>
      </c>
      <c r="E224" s="52"/>
      <c r="F224" s="52"/>
      <c r="G224" s="52"/>
      <c r="H224" s="52"/>
      <c r="I224" s="42"/>
      <c r="J224" s="65" t="s">
        <v>1427</v>
      </c>
      <c r="K224" s="3954" t="s">
        <v>6928</v>
      </c>
      <c r="L224" s="3956"/>
      <c r="Q224" s="2953"/>
    </row>
    <row r="225" spans="1:32" ht="12.75" customHeight="1">
      <c r="A225" s="47"/>
      <c r="B225" s="144" t="s">
        <v>1659</v>
      </c>
      <c r="C225" s="783" t="s">
        <v>3946</v>
      </c>
      <c r="E225" s="783"/>
      <c r="F225" s="783"/>
      <c r="G225" s="783"/>
      <c r="H225" s="783"/>
      <c r="I225" s="42"/>
      <c r="J225" s="65" t="s">
        <v>1428</v>
      </c>
      <c r="K225" s="4114" t="s">
        <v>6929</v>
      </c>
      <c r="L225" s="4115"/>
      <c r="M225" s="3966" t="s">
        <v>6450</v>
      </c>
      <c r="N225" s="3967"/>
      <c r="O225" s="3967"/>
      <c r="P225" s="3968"/>
      <c r="Q225" s="2953"/>
    </row>
    <row r="226" spans="1:32" ht="12.75" customHeight="1">
      <c r="A226" s="47"/>
      <c r="B226" s="40" t="s">
        <v>1660</v>
      </c>
      <c r="C226" s="783" t="s">
        <v>3947</v>
      </c>
      <c r="D226" s="146"/>
      <c r="E226" s="783"/>
      <c r="F226" s="783"/>
      <c r="G226" s="783"/>
      <c r="H226" s="783"/>
      <c r="I226" s="93"/>
      <c r="J226" s="439" t="s">
        <v>1429</v>
      </c>
      <c r="K226" s="3957" t="s">
        <v>6981</v>
      </c>
      <c r="L226" s="3958"/>
      <c r="M226" s="3958"/>
      <c r="N226" s="3959"/>
      <c r="O226" s="1601"/>
      <c r="P226" s="987"/>
      <c r="Q226" s="2954"/>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6920</v>
      </c>
      <c r="Q227" s="2966"/>
    </row>
    <row r="228" spans="1:32" ht="12.75" customHeight="1">
      <c r="A228" s="47"/>
      <c r="B228" s="52" t="s">
        <v>4034</v>
      </c>
      <c r="D228" s="52"/>
      <c r="E228" s="52"/>
      <c r="F228" s="52"/>
      <c r="G228" s="52"/>
      <c r="H228" s="52"/>
      <c r="I228" s="52"/>
      <c r="J228" s="52"/>
      <c r="K228" s="42"/>
      <c r="L228" s="42"/>
      <c r="M228" s="42"/>
      <c r="N228" s="439" t="s">
        <v>3273</v>
      </c>
      <c r="O228" s="1312">
        <f>'Part VI-Revenues &amp; Expenses'!$P$67</f>
        <v>48</v>
      </c>
      <c r="P228" s="4108" t="s">
        <v>4036</v>
      </c>
      <c r="Q228" s="4109"/>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110" t="s">
        <v>4091</v>
      </c>
      <c r="D230" s="4111"/>
      <c r="E230" s="4111"/>
      <c r="F230" s="4111"/>
      <c r="G230" s="4112"/>
      <c r="H230" s="439" t="s">
        <v>2022</v>
      </c>
      <c r="I230" s="3973" t="s">
        <v>3554</v>
      </c>
      <c r="J230" s="3974"/>
      <c r="K230" s="3974"/>
      <c r="L230" s="3974"/>
      <c r="M230" s="3974"/>
      <c r="N230" s="3974"/>
      <c r="O230" s="4113"/>
      <c r="P230" s="2952"/>
      <c r="Q230" s="2968"/>
      <c r="AE230" s="54"/>
      <c r="AF230" s="54"/>
    </row>
    <row r="231" spans="1:32" s="43" customFormat="1" ht="12.75" customHeight="1">
      <c r="A231" s="51"/>
      <c r="B231" s="439" t="s">
        <v>2023</v>
      </c>
      <c r="C231" s="4091" t="s">
        <v>4032</v>
      </c>
      <c r="D231" s="4092"/>
      <c r="E231" s="4092"/>
      <c r="F231" s="4092"/>
      <c r="G231" s="4093"/>
      <c r="H231" s="439" t="s">
        <v>2023</v>
      </c>
      <c r="I231" s="3397"/>
      <c r="J231" s="3398"/>
      <c r="K231" s="3398"/>
      <c r="L231" s="3398"/>
      <c r="M231" s="3398"/>
      <c r="N231" s="3398"/>
      <c r="O231" s="3400"/>
      <c r="P231" s="2953"/>
      <c r="Q231" s="2969"/>
      <c r="AE231" s="54"/>
      <c r="AF231" s="54"/>
    </row>
    <row r="232" spans="1:32" s="43" customFormat="1" ht="12.75" customHeight="1">
      <c r="A232" s="51"/>
      <c r="B232" s="439" t="s">
        <v>1655</v>
      </c>
      <c r="C232" s="4091" t="s">
        <v>1581</v>
      </c>
      <c r="D232" s="4092"/>
      <c r="E232" s="4092"/>
      <c r="F232" s="4092"/>
      <c r="G232" s="4093"/>
      <c r="H232" s="439" t="s">
        <v>1655</v>
      </c>
      <c r="I232" s="3397" t="s">
        <v>3554</v>
      </c>
      <c r="J232" s="3398"/>
      <c r="K232" s="3398"/>
      <c r="L232" s="3398"/>
      <c r="M232" s="3398"/>
      <c r="N232" s="3398"/>
      <c r="O232" s="3400"/>
      <c r="P232" s="2953"/>
      <c r="Q232" s="2969"/>
      <c r="AE232" s="54"/>
      <c r="AF232" s="54"/>
    </row>
    <row r="233" spans="1:32" s="43" customFormat="1" ht="12.75" customHeight="1">
      <c r="A233" s="51"/>
      <c r="B233" s="439" t="s">
        <v>4046</v>
      </c>
      <c r="C233" s="4116" t="s">
        <v>4031</v>
      </c>
      <c r="D233" s="4117"/>
      <c r="E233" s="4117"/>
      <c r="F233" s="4117"/>
      <c r="G233" s="4118"/>
      <c r="H233" s="439" t="s">
        <v>4046</v>
      </c>
      <c r="I233" s="3434"/>
      <c r="J233" s="3435"/>
      <c r="K233" s="3435"/>
      <c r="L233" s="3435"/>
      <c r="M233" s="3435"/>
      <c r="N233" s="3435"/>
      <c r="O233" s="3437"/>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6920</v>
      </c>
      <c r="Q234" s="2952"/>
    </row>
    <row r="235" spans="1:32" ht="12.75" customHeight="1">
      <c r="A235" s="47"/>
      <c r="B235" s="144" t="s">
        <v>1658</v>
      </c>
      <c r="C235" s="52" t="s">
        <v>3194</v>
      </c>
      <c r="E235" s="52"/>
      <c r="F235" s="52"/>
      <c r="L235" s="33"/>
      <c r="M235" s="33"/>
      <c r="O235" s="65" t="s">
        <v>1658</v>
      </c>
      <c r="P235" s="2666" t="s">
        <v>2769</v>
      </c>
      <c r="Q235" s="2953"/>
    </row>
    <row r="236" spans="1:32" ht="12.75" customHeight="1">
      <c r="B236" s="144" t="s">
        <v>1659</v>
      </c>
      <c r="C236" s="783" t="s">
        <v>2614</v>
      </c>
      <c r="E236" s="783"/>
      <c r="F236" s="783"/>
      <c r="L236" s="33"/>
      <c r="M236" s="33"/>
      <c r="O236" s="65" t="s">
        <v>1659</v>
      </c>
      <c r="P236" s="2666" t="s">
        <v>2769</v>
      </c>
      <c r="Q236" s="2953"/>
    </row>
    <row r="237" spans="1:32" ht="12.75" customHeight="1">
      <c r="B237" s="144" t="s">
        <v>1660</v>
      </c>
      <c r="C237" s="783" t="s">
        <v>6336</v>
      </c>
      <c r="E237" s="783"/>
      <c r="F237" s="783"/>
      <c r="G237" s="783"/>
      <c r="H237" s="783"/>
      <c r="I237" s="42"/>
      <c r="J237" s="33"/>
      <c r="K237" s="42"/>
      <c r="L237" s="33"/>
      <c r="M237" s="33"/>
      <c r="O237" s="65" t="s">
        <v>1660</v>
      </c>
      <c r="P237" s="2666"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3"/>
    </row>
    <row r="240" spans="1:32" ht="23.25" customHeight="1">
      <c r="A240" s="47"/>
      <c r="B240" s="451" t="s">
        <v>1488</v>
      </c>
      <c r="C240" s="3969" t="s">
        <v>6451</v>
      </c>
      <c r="D240" s="3969"/>
      <c r="E240" s="3969"/>
      <c r="F240" s="3969"/>
      <c r="G240" s="3969"/>
      <c r="H240" s="3969"/>
      <c r="I240" s="3969"/>
      <c r="J240" s="3969"/>
      <c r="K240" s="3969"/>
      <c r="L240" s="3969"/>
      <c r="M240" s="3969"/>
      <c r="N240" s="3969"/>
      <c r="O240" s="159" t="s">
        <v>1488</v>
      </c>
      <c r="P240" s="2658" t="s">
        <v>2769</v>
      </c>
      <c r="Q240" s="2962"/>
    </row>
    <row r="241" spans="1:32" ht="12" customHeight="1">
      <c r="A241" s="47" t="s">
        <v>2021</v>
      </c>
      <c r="B241" s="52" t="s">
        <v>6312</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3961</v>
      </c>
      <c r="E243" s="42"/>
      <c r="F243" s="42"/>
      <c r="G243" s="783"/>
      <c r="H243" s="783"/>
      <c r="I243" s="42"/>
      <c r="J243" s="783"/>
      <c r="K243" s="42"/>
      <c r="L243" s="783"/>
      <c r="M243" s="783"/>
      <c r="O243" s="65" t="s">
        <v>1659</v>
      </c>
      <c r="P243" s="2671"/>
      <c r="Q243" s="2954"/>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12" customHeight="1">
      <c r="A245" s="3963" t="s">
        <v>6969</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70"/>
      <c r="B247" s="3971"/>
      <c r="C247" s="3971"/>
      <c r="D247" s="3971"/>
      <c r="E247" s="3971"/>
      <c r="F247" s="3971"/>
      <c r="G247" s="3971"/>
      <c r="H247" s="3971"/>
      <c r="I247" s="3971"/>
      <c r="J247" s="3971"/>
      <c r="K247" s="3971"/>
      <c r="L247" s="3971"/>
      <c r="M247" s="3971"/>
      <c r="N247" s="3971"/>
      <c r="O247" s="3971"/>
      <c r="P247" s="3971"/>
      <c r="Q247" s="3972"/>
    </row>
    <row r="248" spans="1:32" ht="14.1" customHeight="1">
      <c r="A248" s="2650" t="s">
        <v>2605</v>
      </c>
      <c r="B248" s="2650" t="s">
        <v>6337</v>
      </c>
      <c r="C248" s="40"/>
      <c r="D248" s="2655"/>
      <c r="E248" s="2655"/>
      <c r="F248" s="2655"/>
      <c r="G248" s="2655"/>
      <c r="H248" s="2655"/>
      <c r="I248" s="2655"/>
      <c r="J248" s="2655"/>
      <c r="K248" s="1409" t="s">
        <v>431</v>
      </c>
      <c r="L248" s="1409" t="str">
        <f>'Part I-Project Information'!$N$40</f>
        <v>No</v>
      </c>
      <c r="M248" s="2655"/>
      <c r="O248" s="130" t="s">
        <v>1781</v>
      </c>
      <c r="P248" s="3961"/>
      <c r="Q248" s="3962"/>
    </row>
    <row r="249" spans="1:32" ht="11.25" customHeight="1">
      <c r="A249" s="140" t="s">
        <v>1893</v>
      </c>
      <c r="B249" s="138" t="s">
        <v>6340</v>
      </c>
    </row>
    <row r="250" spans="1:32" ht="10.5" customHeight="1">
      <c r="A250" s="140"/>
      <c r="B250" s="52" t="s">
        <v>6342</v>
      </c>
      <c r="C250" s="42"/>
      <c r="D250" s="42"/>
      <c r="E250" s="42"/>
      <c r="F250" s="42"/>
      <c r="G250" s="42"/>
      <c r="H250" s="42"/>
      <c r="I250" s="42"/>
      <c r="J250" s="2639" t="s">
        <v>6341</v>
      </c>
      <c r="K250" s="52" t="s">
        <v>6342</v>
      </c>
      <c r="L250" s="42"/>
      <c r="M250" s="42"/>
      <c r="N250" s="42"/>
      <c r="O250" s="42"/>
      <c r="P250" s="42"/>
      <c r="Q250" s="2639" t="s">
        <v>6341</v>
      </c>
    </row>
    <row r="251" spans="1:32" s="131" customFormat="1" ht="12" customHeight="1">
      <c r="B251" s="3973"/>
      <c r="C251" s="3974"/>
      <c r="D251" s="3974"/>
      <c r="E251" s="3974"/>
      <c r="F251" s="3974"/>
      <c r="G251" s="3974"/>
      <c r="H251" s="3974"/>
      <c r="I251" s="3974"/>
      <c r="J251" s="2503"/>
      <c r="K251" s="3973"/>
      <c r="L251" s="3974"/>
      <c r="M251" s="3974"/>
      <c r="N251" s="3974"/>
      <c r="O251" s="3974"/>
      <c r="P251" s="3974"/>
      <c r="Q251" s="2503"/>
      <c r="AE251" s="442"/>
      <c r="AF251" s="442"/>
    </row>
    <row r="252" spans="1:32" s="131" customFormat="1" ht="12" customHeight="1">
      <c r="A252" s="140"/>
      <c r="B252" s="3397"/>
      <c r="C252" s="3398"/>
      <c r="D252" s="3398"/>
      <c r="E252" s="3398"/>
      <c r="F252" s="3398"/>
      <c r="G252" s="3398"/>
      <c r="H252" s="3398"/>
      <c r="I252" s="3398"/>
      <c r="J252" s="2504"/>
      <c r="K252" s="3397"/>
      <c r="L252" s="3398"/>
      <c r="M252" s="3398"/>
      <c r="N252" s="3398"/>
      <c r="O252" s="3398"/>
      <c r="P252" s="3398"/>
      <c r="Q252" s="2504"/>
      <c r="AE252" s="442"/>
      <c r="AF252" s="442"/>
    </row>
    <row r="253" spans="1:32" s="131" customFormat="1" ht="12" customHeight="1">
      <c r="A253" s="140"/>
      <c r="B253" s="3397"/>
      <c r="C253" s="3398"/>
      <c r="D253" s="3398"/>
      <c r="E253" s="3398"/>
      <c r="F253" s="3398"/>
      <c r="G253" s="3398"/>
      <c r="H253" s="3398"/>
      <c r="I253" s="3398"/>
      <c r="J253" s="2504"/>
      <c r="K253" s="3397"/>
      <c r="L253" s="3398"/>
      <c r="M253" s="3398"/>
      <c r="N253" s="3398"/>
      <c r="O253" s="3398"/>
      <c r="P253" s="3398"/>
      <c r="Q253" s="2504"/>
      <c r="AE253" s="442"/>
      <c r="AF253" s="442"/>
    </row>
    <row r="254" spans="1:32" s="131" customFormat="1" ht="12" customHeight="1">
      <c r="A254" s="140"/>
      <c r="B254" s="3397"/>
      <c r="C254" s="3398"/>
      <c r="D254" s="3398"/>
      <c r="E254" s="3398"/>
      <c r="F254" s="3398"/>
      <c r="G254" s="3398"/>
      <c r="H254" s="3398"/>
      <c r="I254" s="3398"/>
      <c r="J254" s="2504"/>
      <c r="K254" s="3397"/>
      <c r="L254" s="3398"/>
      <c r="M254" s="3398"/>
      <c r="N254" s="3398"/>
      <c r="O254" s="3398"/>
      <c r="P254" s="3398"/>
      <c r="Q254" s="2504"/>
      <c r="AE254" s="442"/>
      <c r="AF254" s="442"/>
    </row>
    <row r="255" spans="1:32" s="131" customFormat="1" ht="12" customHeight="1">
      <c r="A255" s="140"/>
      <c r="B255" s="3397"/>
      <c r="C255" s="3398"/>
      <c r="D255" s="3398"/>
      <c r="E255" s="3398"/>
      <c r="F255" s="3398"/>
      <c r="G255" s="3398"/>
      <c r="H255" s="3398"/>
      <c r="I255" s="3398"/>
      <c r="J255" s="2504"/>
      <c r="K255" s="3397"/>
      <c r="L255" s="3398"/>
      <c r="M255" s="3398"/>
      <c r="N255" s="3398"/>
      <c r="O255" s="3398"/>
      <c r="P255" s="3398"/>
      <c r="Q255" s="2504"/>
      <c r="AE255" s="442"/>
      <c r="AF255" s="442"/>
    </row>
    <row r="256" spans="1:32" s="131" customFormat="1" ht="12" customHeight="1">
      <c r="A256" s="140"/>
      <c r="B256" s="3397"/>
      <c r="C256" s="3398"/>
      <c r="D256" s="3398"/>
      <c r="E256" s="3398"/>
      <c r="F256" s="3398"/>
      <c r="G256" s="3398"/>
      <c r="H256" s="3398"/>
      <c r="I256" s="3398"/>
      <c r="J256" s="2504"/>
      <c r="K256" s="3397"/>
      <c r="L256" s="3398"/>
      <c r="M256" s="3398"/>
      <c r="N256" s="3398"/>
      <c r="O256" s="3398"/>
      <c r="P256" s="3398"/>
      <c r="Q256" s="2504"/>
      <c r="AE256" s="442"/>
      <c r="AF256" s="442"/>
    </row>
    <row r="257" spans="1:32" s="131" customFormat="1" ht="12" customHeight="1">
      <c r="A257" s="140"/>
      <c r="B257" s="3397"/>
      <c r="C257" s="3398"/>
      <c r="D257" s="3398"/>
      <c r="E257" s="3398"/>
      <c r="F257" s="3398"/>
      <c r="G257" s="3398"/>
      <c r="H257" s="3398"/>
      <c r="I257" s="3398"/>
      <c r="J257" s="2504"/>
      <c r="K257" s="3397"/>
      <c r="L257" s="3398"/>
      <c r="M257" s="3398"/>
      <c r="N257" s="3398"/>
      <c r="O257" s="3398"/>
      <c r="P257" s="3398"/>
      <c r="Q257" s="2504"/>
      <c r="AE257" s="442"/>
      <c r="AF257" s="442"/>
    </row>
    <row r="258" spans="1:32" s="131" customFormat="1" ht="12" customHeight="1">
      <c r="B258" s="3434"/>
      <c r="C258" s="3435"/>
      <c r="D258" s="3435"/>
      <c r="E258" s="3435"/>
      <c r="F258" s="3435"/>
      <c r="G258" s="3435"/>
      <c r="H258" s="3435"/>
      <c r="I258" s="3435"/>
      <c r="J258" s="2505"/>
      <c r="K258" s="3434"/>
      <c r="L258" s="3435"/>
      <c r="M258" s="3435"/>
      <c r="N258" s="3435"/>
      <c r="O258" s="3435"/>
      <c r="P258" s="3435"/>
      <c r="Q258" s="2505"/>
      <c r="AE258" s="442"/>
      <c r="AF258" s="442"/>
    </row>
    <row r="259" spans="1:32" ht="12" customHeight="1">
      <c r="A259" s="140" t="s">
        <v>1895</v>
      </c>
      <c r="B259" s="1602" t="s">
        <v>6343</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49" t="s">
        <v>6339</v>
      </c>
      <c r="C260" s="3949"/>
      <c r="D260" s="3949"/>
      <c r="E260" s="3949"/>
      <c r="F260" s="3949"/>
      <c r="G260" s="3949"/>
      <c r="H260" s="3949"/>
      <c r="I260" s="3949"/>
      <c r="J260" s="3949"/>
      <c r="K260" s="3949"/>
      <c r="L260" s="3949"/>
      <c r="M260" s="3949"/>
      <c r="N260" s="3949"/>
      <c r="O260" s="159" t="s">
        <v>719</v>
      </c>
      <c r="P260" s="2657"/>
      <c r="Q260" s="2960"/>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58"/>
      <c r="Q261" s="2962"/>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3963" t="s">
        <v>6930</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70"/>
      <c r="B265" s="3971"/>
      <c r="C265" s="3971"/>
      <c r="D265" s="3971"/>
      <c r="E265" s="3971"/>
      <c r="F265" s="3971"/>
      <c r="G265" s="3971"/>
      <c r="H265" s="3971"/>
      <c r="I265" s="3971"/>
      <c r="J265" s="3971"/>
      <c r="K265" s="3971"/>
      <c r="L265" s="3971"/>
      <c r="M265" s="3971"/>
      <c r="N265" s="3971"/>
      <c r="O265" s="3971"/>
      <c r="P265" s="3971"/>
      <c r="Q265" s="3972"/>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4152</v>
      </c>
      <c r="C267" s="4"/>
      <c r="D267" s="86"/>
      <c r="E267" s="86"/>
      <c r="F267" s="86"/>
      <c r="G267" s="86"/>
      <c r="H267" s="2655"/>
      <c r="I267" s="2655"/>
      <c r="J267" s="2655"/>
      <c r="K267" s="2655"/>
      <c r="L267" s="1343"/>
      <c r="M267" s="1344"/>
      <c r="O267" s="130" t="s">
        <v>1781</v>
      </c>
      <c r="P267" s="3961"/>
      <c r="Q267" s="3962"/>
    </row>
    <row r="268" spans="1:32" s="27" customFormat="1" ht="12" customHeight="1">
      <c r="B268" s="55" t="s">
        <v>6452</v>
      </c>
      <c r="N268" s="119"/>
      <c r="P268" s="2489"/>
      <c r="Q268" s="2966"/>
      <c r="AE268" s="115"/>
      <c r="AF268" s="115"/>
    </row>
    <row r="269" spans="1:32" ht="11.45" customHeight="1">
      <c r="A269" s="47" t="s">
        <v>1893</v>
      </c>
      <c r="B269" s="52" t="s">
        <v>1220</v>
      </c>
      <c r="D269" s="42"/>
      <c r="E269" s="52"/>
      <c r="F269" s="52"/>
      <c r="J269" s="439" t="s">
        <v>1893</v>
      </c>
      <c r="K269" s="3995"/>
      <c r="L269" s="3996"/>
      <c r="M269" s="3996"/>
      <c r="N269" s="3996"/>
      <c r="O269" s="3997"/>
      <c r="P269" s="3993" t="s">
        <v>1691</v>
      </c>
      <c r="Q269" s="3994"/>
    </row>
    <row r="270" spans="1:32" s="27" customFormat="1" ht="34.5" customHeight="1">
      <c r="B270" s="4083" t="s">
        <v>6453</v>
      </c>
      <c r="C270" s="4083"/>
      <c r="D270" s="4083"/>
      <c r="E270" s="4083"/>
      <c r="F270" s="4083"/>
      <c r="G270" s="4083"/>
      <c r="H270" s="4083"/>
      <c r="I270" s="4083"/>
      <c r="J270" s="4083"/>
      <c r="K270" s="4083"/>
      <c r="L270" s="4083"/>
      <c r="M270" s="4083"/>
      <c r="N270" s="4083"/>
      <c r="O270" s="4000"/>
      <c r="P270" s="2506"/>
      <c r="Q270" s="2971"/>
      <c r="AE270" s="115"/>
      <c r="AF270" s="115"/>
    </row>
    <row r="271" spans="1:32" ht="12" customHeight="1">
      <c r="A271" s="47" t="s">
        <v>1895</v>
      </c>
      <c r="B271" s="52" t="s">
        <v>2617</v>
      </c>
      <c r="D271" s="52"/>
      <c r="E271" s="52"/>
      <c r="F271" s="52"/>
      <c r="J271" s="439" t="s">
        <v>1895</v>
      </c>
      <c r="K271" s="4022"/>
      <c r="L271" s="4023"/>
      <c r="M271" s="4023"/>
      <c r="N271" s="4023"/>
      <c r="O271" s="4024"/>
      <c r="P271" s="4018"/>
      <c r="Q271" s="4019"/>
    </row>
    <row r="272" spans="1:32" s="146" customFormat="1" ht="12" customHeight="1">
      <c r="A272" s="47"/>
      <c r="B272" s="2655" t="s">
        <v>1658</v>
      </c>
      <c r="C272" s="52" t="s">
        <v>1856</v>
      </c>
      <c r="D272" s="52"/>
      <c r="E272" s="52"/>
      <c r="F272" s="52"/>
      <c r="J272" s="65" t="s">
        <v>1658</v>
      </c>
      <c r="K272" s="3957"/>
      <c r="L272" s="3958"/>
      <c r="M272" s="3958"/>
      <c r="N272" s="3958"/>
      <c r="O272" s="3959"/>
      <c r="P272" s="4020"/>
      <c r="Q272" s="4021"/>
      <c r="AE272" s="443"/>
      <c r="AF272" s="443"/>
    </row>
    <row r="273" spans="1:32" s="146" customFormat="1" ht="12" customHeight="1">
      <c r="A273" s="47"/>
      <c r="B273" s="2655" t="s">
        <v>1659</v>
      </c>
      <c r="C273" s="52" t="s">
        <v>6454</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49" t="s">
        <v>6464</v>
      </c>
      <c r="D274" s="3949"/>
      <c r="E274" s="3949"/>
      <c r="F274" s="3949"/>
      <c r="G274" s="3949"/>
      <c r="H274" s="3949"/>
      <c r="I274" s="3949"/>
      <c r="J274" s="3949"/>
      <c r="K274" s="3949"/>
      <c r="L274" s="3949"/>
      <c r="M274" s="3949"/>
      <c r="N274" s="3949"/>
      <c r="O274" s="147" t="s">
        <v>1660</v>
      </c>
      <c r="P274" s="2664"/>
      <c r="Q274" s="2972"/>
      <c r="AE274" s="443"/>
      <c r="AF274" s="443"/>
    </row>
    <row r="275" spans="1:32" s="146" customFormat="1" ht="24" customHeight="1">
      <c r="A275" s="47"/>
      <c r="B275" s="2655" t="s">
        <v>2260</v>
      </c>
      <c r="C275" s="3949" t="s">
        <v>6465</v>
      </c>
      <c r="D275" s="3949"/>
      <c r="E275" s="3949"/>
      <c r="F275" s="3949"/>
      <c r="G275" s="3949"/>
      <c r="H275" s="3949"/>
      <c r="I275" s="3949"/>
      <c r="J275" s="3949"/>
      <c r="K275" s="3949"/>
      <c r="L275" s="3949"/>
      <c r="M275" s="3949"/>
      <c r="N275" s="3949"/>
      <c r="O275" s="159" t="s">
        <v>2260</v>
      </c>
      <c r="P275" s="2658"/>
      <c r="Q275" s="2962"/>
      <c r="AE275" s="443"/>
      <c r="AF275" s="443"/>
    </row>
    <row r="276" spans="1:32" s="146" customFormat="1" ht="12" customHeight="1">
      <c r="A276" s="47" t="s">
        <v>719</v>
      </c>
      <c r="B276" s="52" t="s">
        <v>3452</v>
      </c>
      <c r="D276" s="52"/>
      <c r="E276" s="52"/>
      <c r="F276" s="52"/>
      <c r="G276" s="52"/>
      <c r="H276" s="52"/>
      <c r="I276" s="93"/>
      <c r="J276" s="93"/>
      <c r="K276" s="93"/>
      <c r="M276" s="36"/>
      <c r="N276" s="896"/>
      <c r="P276" s="2492"/>
      <c r="Q276" s="2952"/>
      <c r="AE276" s="443"/>
      <c r="AF276" s="443"/>
    </row>
    <row r="277" spans="1:32" s="146" customFormat="1" ht="12" customHeight="1">
      <c r="A277" s="47"/>
      <c r="B277" s="3949" t="s">
        <v>3377</v>
      </c>
      <c r="C277" s="3949"/>
      <c r="D277" s="3949"/>
      <c r="E277" s="3949"/>
      <c r="F277" s="3949"/>
      <c r="G277" s="3949"/>
      <c r="H277" s="418" t="s">
        <v>3533</v>
      </c>
      <c r="K277" s="93"/>
      <c r="M277" s="36"/>
      <c r="N277" s="896"/>
      <c r="O277" s="65" t="s">
        <v>1658</v>
      </c>
      <c r="P277" s="2666"/>
      <c r="Q277" s="2953"/>
      <c r="AE277" s="443"/>
      <c r="AF277" s="443"/>
    </row>
    <row r="278" spans="1:32" s="146" customFormat="1" ht="12" customHeight="1">
      <c r="A278" s="47"/>
      <c r="B278" s="3949"/>
      <c r="C278" s="3949"/>
      <c r="D278" s="3949"/>
      <c r="E278" s="3949"/>
      <c r="F278" s="3949"/>
      <c r="G278" s="3949"/>
      <c r="H278" s="55" t="s">
        <v>3534</v>
      </c>
      <c r="K278" s="93"/>
      <c r="M278" s="36"/>
      <c r="N278" s="896"/>
      <c r="O278" s="65" t="s">
        <v>1659</v>
      </c>
      <c r="P278" s="2666"/>
      <c r="Q278" s="2953"/>
      <c r="AE278" s="443"/>
      <c r="AF278" s="443"/>
    </row>
    <row r="279" spans="1:32" s="146" customFormat="1" ht="12" customHeight="1">
      <c r="A279" s="47"/>
      <c r="B279" s="52"/>
      <c r="D279" s="52"/>
      <c r="E279" s="52"/>
      <c r="F279" s="52"/>
      <c r="G279" s="52"/>
      <c r="H279" s="55" t="s">
        <v>3535</v>
      </c>
      <c r="K279" s="93"/>
      <c r="M279" s="36"/>
      <c r="N279" s="896"/>
      <c r="O279" s="65" t="s">
        <v>1660</v>
      </c>
      <c r="P279" s="2666"/>
      <c r="Q279" s="2953"/>
      <c r="AE279" s="443"/>
      <c r="AF279" s="443"/>
    </row>
    <row r="280" spans="1:32" s="146" customFormat="1" ht="12" customHeight="1">
      <c r="A280" s="47"/>
      <c r="B280" s="52"/>
      <c r="D280" s="52"/>
      <c r="E280" s="52"/>
      <c r="F280" s="52"/>
      <c r="G280" s="52"/>
      <c r="H280" s="55" t="s">
        <v>3536</v>
      </c>
      <c r="K280" s="93"/>
      <c r="M280" s="36"/>
      <c r="N280" s="896"/>
      <c r="O280" s="439" t="s">
        <v>2260</v>
      </c>
      <c r="P280" s="2666"/>
      <c r="Q280" s="2953"/>
      <c r="AE280" s="443"/>
      <c r="AF280" s="443"/>
    </row>
    <row r="281" spans="1:32" s="146" customFormat="1" ht="23.25" customHeight="1">
      <c r="B281" s="784" t="s">
        <v>6823</v>
      </c>
      <c r="C281" s="3949" t="s">
        <v>6822</v>
      </c>
      <c r="D281" s="3949"/>
      <c r="E281" s="3949"/>
      <c r="F281" s="3949"/>
      <c r="G281" s="3949"/>
      <c r="H281" s="3949"/>
      <c r="I281" s="3949"/>
      <c r="J281" s="3949"/>
      <c r="K281" s="3949"/>
      <c r="L281" s="3949"/>
      <c r="M281" s="3949"/>
      <c r="N281" s="3949"/>
      <c r="O281" s="159" t="s">
        <v>1487</v>
      </c>
      <c r="P281" s="2658"/>
      <c r="Q281" s="2962"/>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12" customHeight="1">
      <c r="A283" s="3963" t="s">
        <v>6931</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70"/>
      <c r="B285" s="3971"/>
      <c r="C285" s="3971"/>
      <c r="D285" s="3971"/>
      <c r="E285" s="3971"/>
      <c r="F285" s="3971"/>
      <c r="G285" s="3971"/>
      <c r="H285" s="3971"/>
      <c r="I285" s="3971"/>
      <c r="J285" s="3971"/>
      <c r="K285" s="3971"/>
      <c r="L285" s="3971"/>
      <c r="M285" s="3971"/>
      <c r="N285" s="3971"/>
      <c r="O285" s="3971"/>
      <c r="P285" s="3971"/>
      <c r="Q285" s="3972"/>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3521</v>
      </c>
      <c r="B287" s="4" t="s">
        <v>2520</v>
      </c>
      <c r="C287" s="4"/>
      <c r="D287" s="86"/>
      <c r="E287" s="86"/>
      <c r="F287" s="86"/>
      <c r="G287" s="86"/>
      <c r="H287" s="2655"/>
      <c r="I287" s="2655"/>
      <c r="J287" s="2655"/>
      <c r="K287" s="2655"/>
      <c r="L287" s="2655"/>
      <c r="M287" s="2655"/>
      <c r="O287" s="130" t="s">
        <v>1781</v>
      </c>
      <c r="P287" s="3961"/>
      <c r="Q287" s="3962"/>
    </row>
    <row r="288" spans="1:32" s="403" customFormat="1" ht="21.75" customHeight="1">
      <c r="A288" s="140" t="s">
        <v>1893</v>
      </c>
      <c r="B288" s="2655" t="s">
        <v>1658</v>
      </c>
      <c r="C288" s="3949" t="s">
        <v>4234</v>
      </c>
      <c r="D288" s="3949"/>
      <c r="E288" s="3949"/>
      <c r="F288" s="3949"/>
      <c r="G288" s="3949"/>
      <c r="H288" s="3949"/>
      <c r="I288" s="3949"/>
      <c r="J288" s="3949"/>
      <c r="K288" s="3949"/>
      <c r="L288" s="3949"/>
      <c r="M288" s="3949"/>
      <c r="N288" s="3949"/>
      <c r="O288" s="1490" t="s">
        <v>1427</v>
      </c>
      <c r="P288" s="2502" t="s">
        <v>2769</v>
      </c>
      <c r="Q288" s="2967"/>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71" t="s">
        <v>2769</v>
      </c>
      <c r="Q290" s="2954"/>
      <c r="AE290" s="443"/>
      <c r="AF290" s="443"/>
    </row>
    <row r="291" spans="1:32" s="403" customFormat="1" ht="23.25" customHeight="1">
      <c r="A291" s="140" t="s">
        <v>719</v>
      </c>
      <c r="B291" s="2655" t="s">
        <v>1658</v>
      </c>
      <c r="C291" s="3949" t="s">
        <v>4261</v>
      </c>
      <c r="D291" s="3949"/>
      <c r="E291" s="3949"/>
      <c r="F291" s="3949"/>
      <c r="G291" s="3949"/>
      <c r="H291" s="3949"/>
      <c r="I291" s="3949"/>
      <c r="J291" s="3949"/>
      <c r="K291" s="3949"/>
      <c r="L291" s="3949"/>
      <c r="M291" s="3949"/>
      <c r="N291" s="3949"/>
      <c r="O291" s="1490" t="s">
        <v>4262</v>
      </c>
      <c r="P291" s="2502" t="s">
        <v>2769</v>
      </c>
      <c r="Q291" s="2967"/>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2769</v>
      </c>
      <c r="Q292" s="2954"/>
      <c r="AE292" s="443"/>
      <c r="AF292" s="443"/>
    </row>
    <row r="293" spans="1:32" s="146" customFormat="1" ht="22.5" customHeight="1">
      <c r="A293" s="140" t="s">
        <v>2021</v>
      </c>
      <c r="B293" s="3949" t="s">
        <v>6344</v>
      </c>
      <c r="C293" s="3949"/>
      <c r="D293" s="3949"/>
      <c r="E293" s="3949"/>
      <c r="F293" s="3949"/>
      <c r="G293" s="3949"/>
      <c r="H293" s="3949"/>
      <c r="I293" s="3949"/>
      <c r="J293" s="3949"/>
      <c r="K293" s="3949"/>
      <c r="L293" s="3949"/>
      <c r="M293" s="3949"/>
      <c r="N293" s="3949"/>
      <c r="O293" s="159" t="s">
        <v>2021</v>
      </c>
      <c r="P293" s="2658" t="s">
        <v>2769</v>
      </c>
      <c r="Q293" s="2962"/>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13.35" customHeight="1">
      <c r="A295" s="3963" t="s">
        <v>6973</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70"/>
      <c r="B297" s="3971"/>
      <c r="C297" s="3971"/>
      <c r="D297" s="3971"/>
      <c r="E297" s="3971"/>
      <c r="F297" s="3971"/>
      <c r="G297" s="3971"/>
      <c r="H297" s="3971"/>
      <c r="I297" s="3971"/>
      <c r="J297" s="3971"/>
      <c r="K297" s="3971"/>
      <c r="L297" s="3971"/>
      <c r="M297" s="3971"/>
      <c r="N297" s="3971"/>
      <c r="O297" s="3971"/>
      <c r="P297" s="3971"/>
      <c r="Q297" s="3972"/>
    </row>
    <row r="298" spans="1:32" ht="3" customHeight="1"/>
    <row r="299" spans="1:32" ht="14.1" customHeight="1">
      <c r="A299" s="2650" t="s">
        <v>3522</v>
      </c>
      <c r="B299" s="2650" t="s">
        <v>2521</v>
      </c>
      <c r="C299" s="2650"/>
      <c r="D299" s="2655"/>
      <c r="E299" s="2655"/>
      <c r="F299" s="2655"/>
      <c r="G299" s="2655"/>
      <c r="H299" s="2655"/>
      <c r="I299" s="2655"/>
      <c r="J299" s="2655"/>
      <c r="K299" s="2655"/>
      <c r="L299" s="2655"/>
      <c r="M299" s="2655"/>
      <c r="O299" s="130" t="s">
        <v>1781</v>
      </c>
      <c r="P299" s="3961"/>
      <c r="Q299" s="3962"/>
    </row>
    <row r="300" spans="1:32" s="27" customFormat="1" ht="11.45" customHeight="1">
      <c r="B300" s="55" t="s">
        <v>6452</v>
      </c>
      <c r="N300" s="119"/>
      <c r="P300" s="2489" t="s">
        <v>2772</v>
      </c>
      <c r="Q300" s="2966"/>
      <c r="AE300" s="115"/>
      <c r="AF300" s="115"/>
    </row>
    <row r="301" spans="1:32" s="33" customFormat="1" ht="11.45" customHeight="1">
      <c r="A301" s="47" t="s">
        <v>1893</v>
      </c>
      <c r="B301" s="175" t="s">
        <v>6456</v>
      </c>
      <c r="C301" s="522"/>
      <c r="D301" s="522"/>
      <c r="E301" s="522"/>
      <c r="F301" s="522"/>
      <c r="H301" s="522"/>
      <c r="I301" s="522"/>
      <c r="O301" s="159" t="s">
        <v>1893</v>
      </c>
      <c r="R301" s="1295"/>
    </row>
    <row r="302" spans="1:32" s="403" customFormat="1" ht="33" customHeight="1">
      <c r="B302" s="784" t="s">
        <v>1658</v>
      </c>
      <c r="C302" s="3949" t="s">
        <v>4027</v>
      </c>
      <c r="D302" s="3949"/>
      <c r="E302" s="3949"/>
      <c r="F302" s="3949"/>
      <c r="G302" s="3949"/>
      <c r="H302" s="3949"/>
      <c r="I302" s="3949"/>
      <c r="J302" s="3949"/>
      <c r="K302" s="3949"/>
      <c r="L302" s="3949"/>
      <c r="M302" s="3949"/>
      <c r="N302" s="3949"/>
      <c r="O302" s="1490" t="s">
        <v>1658</v>
      </c>
      <c r="P302" s="2502" t="s">
        <v>6920</v>
      </c>
      <c r="Q302" s="2967"/>
      <c r="AE302" s="444"/>
      <c r="AF302" s="444"/>
    </row>
    <row r="303" spans="1:32" s="403" customFormat="1" ht="21.75" customHeight="1">
      <c r="A303" s="140"/>
      <c r="B303" s="784" t="s">
        <v>1659</v>
      </c>
      <c r="C303" s="3949" t="s">
        <v>2618</v>
      </c>
      <c r="D303" s="3949"/>
      <c r="E303" s="3949"/>
      <c r="F303" s="3949"/>
      <c r="G303" s="3949"/>
      <c r="H303" s="3949"/>
      <c r="I303" s="3949"/>
      <c r="J303" s="3949"/>
      <c r="K303" s="3949"/>
      <c r="L303" s="3949"/>
      <c r="M303" s="3949"/>
      <c r="N303" s="3949"/>
      <c r="O303" s="1490" t="s">
        <v>1659</v>
      </c>
      <c r="P303" s="2658" t="s">
        <v>6920</v>
      </c>
      <c r="Q303" s="2962"/>
      <c r="AE303" s="444"/>
      <c r="AF303" s="444"/>
    </row>
    <row r="304" spans="1:32" s="27" customFormat="1" ht="12.75" customHeight="1">
      <c r="A304" s="137" t="s">
        <v>1895</v>
      </c>
      <c r="B304" s="175" t="s">
        <v>299</v>
      </c>
      <c r="C304" s="157"/>
      <c r="D304" s="522"/>
      <c r="E304" s="522"/>
      <c r="F304" s="157"/>
      <c r="J304" s="439" t="s">
        <v>1895</v>
      </c>
      <c r="K304" s="4029" t="s">
        <v>3386</v>
      </c>
      <c r="L304" s="4030"/>
      <c r="M304" s="4030"/>
      <c r="N304" s="4030"/>
      <c r="O304" s="4030"/>
      <c r="P304" s="4031"/>
      <c r="Q304" s="2973"/>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6920</v>
      </c>
      <c r="Q306" s="2973"/>
      <c r="R306" s="439"/>
    </row>
    <row r="307" spans="1:32" s="101" customFormat="1" ht="11.45" customHeight="1">
      <c r="A307" s="42"/>
      <c r="B307" s="139" t="s">
        <v>3372</v>
      </c>
      <c r="C307" s="42"/>
      <c r="D307" s="48"/>
      <c r="E307" s="48"/>
      <c r="F307" s="48"/>
      <c r="G307" s="48"/>
      <c r="K307" s="36"/>
      <c r="M307" s="46"/>
      <c r="N307" s="6"/>
      <c r="O307" s="3"/>
      <c r="P307" s="2648"/>
    </row>
    <row r="308" spans="1:32" s="43" customFormat="1" ht="21.75" customHeight="1">
      <c r="A308" s="3963" t="s">
        <v>6974</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70"/>
      <c r="B310" s="3971"/>
      <c r="C310" s="3971"/>
      <c r="D310" s="3971"/>
      <c r="E310" s="3971"/>
      <c r="F310" s="3971"/>
      <c r="G310" s="3971"/>
      <c r="H310" s="3971"/>
      <c r="I310" s="3971"/>
      <c r="J310" s="3971"/>
      <c r="K310" s="3971"/>
      <c r="L310" s="3971"/>
      <c r="M310" s="3971"/>
      <c r="N310" s="3971"/>
      <c r="O310" s="3971"/>
      <c r="P310" s="3971"/>
      <c r="Q310" s="3972"/>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3520</v>
      </c>
      <c r="B312" s="2650" t="s">
        <v>2522</v>
      </c>
      <c r="C312" s="2649"/>
      <c r="D312" s="2656"/>
      <c r="E312" s="2655"/>
      <c r="F312" s="2655"/>
      <c r="G312" s="2655"/>
      <c r="H312" s="2655"/>
      <c r="I312" s="2655"/>
      <c r="J312" s="2655"/>
      <c r="K312" s="2655"/>
      <c r="L312" s="2655"/>
      <c r="M312" s="2655"/>
      <c r="O312" s="130" t="s">
        <v>1781</v>
      </c>
      <c r="P312" s="3961"/>
      <c r="Q312" s="3962"/>
    </row>
    <row r="313" spans="1:32" s="27" customFormat="1" ht="11.45" customHeight="1">
      <c r="B313" s="55" t="s">
        <v>6452</v>
      </c>
      <c r="N313" s="119"/>
      <c r="P313" s="2489" t="s">
        <v>2772</v>
      </c>
      <c r="Q313" s="2966"/>
      <c r="AE313" s="115"/>
      <c r="AF313" s="115"/>
    </row>
    <row r="314" spans="1:32" ht="12.75" customHeight="1">
      <c r="A314" s="137" t="s">
        <v>1893</v>
      </c>
      <c r="B314" s="177" t="s">
        <v>3537</v>
      </c>
    </row>
    <row r="315" spans="1:32" s="146" customFormat="1" ht="44.25" customHeight="1">
      <c r="A315" s="140"/>
      <c r="B315" s="1305" t="s">
        <v>1658</v>
      </c>
      <c r="C315" s="3949" t="s">
        <v>3453</v>
      </c>
      <c r="D315" s="3949"/>
      <c r="E315" s="3949"/>
      <c r="F315" s="3949"/>
      <c r="G315" s="3949"/>
      <c r="H315" s="3949"/>
      <c r="I315" s="3949"/>
      <c r="J315" s="3949"/>
      <c r="K315" s="3949"/>
      <c r="L315" s="3949"/>
      <c r="M315" s="3949"/>
      <c r="N315" s="3949"/>
      <c r="O315" s="159" t="s">
        <v>2568</v>
      </c>
      <c r="P315" s="2502" t="s">
        <v>2769</v>
      </c>
      <c r="Q315" s="2967"/>
      <c r="AE315" s="443"/>
      <c r="AF315" s="443"/>
    </row>
    <row r="316" spans="1:32" s="403" customFormat="1" ht="12" customHeight="1">
      <c r="A316" s="140"/>
      <c r="B316" s="1305" t="s">
        <v>1659</v>
      </c>
      <c r="C316" s="3949" t="s">
        <v>4260</v>
      </c>
      <c r="D316" s="3949"/>
      <c r="E316" s="3949"/>
      <c r="F316" s="3949"/>
      <c r="G316" s="3949"/>
      <c r="H316" s="3949"/>
      <c r="I316" s="3949"/>
      <c r="J316" s="3949"/>
      <c r="K316" s="3949"/>
      <c r="L316" s="3949"/>
      <c r="M316" s="3949"/>
      <c r="N316" s="3949"/>
      <c r="O316" s="147" t="s">
        <v>1659</v>
      </c>
      <c r="P316" s="2657" t="s">
        <v>2769</v>
      </c>
      <c r="Q316" s="2960"/>
      <c r="AE316" s="444"/>
      <c r="AF316" s="444"/>
    </row>
    <row r="317" spans="1:32" s="403" customFormat="1" ht="21.75" customHeight="1">
      <c r="A317" s="140"/>
      <c r="B317" s="451" t="s">
        <v>1660</v>
      </c>
      <c r="C317" s="3949" t="s">
        <v>6459</v>
      </c>
      <c r="D317" s="3949"/>
      <c r="E317" s="3949"/>
      <c r="F317" s="3949"/>
      <c r="G317" s="3949"/>
      <c r="H317" s="3949"/>
      <c r="I317" s="3949"/>
      <c r="J317" s="3949"/>
      <c r="K317" s="3949"/>
      <c r="L317" s="3949"/>
      <c r="M317" s="3949"/>
      <c r="N317" s="3949"/>
      <c r="O317" s="159" t="s">
        <v>1660</v>
      </c>
      <c r="P317" s="2658"/>
      <c r="Q317" s="2962"/>
      <c r="AE317" s="444"/>
      <c r="AF317" s="444"/>
    </row>
    <row r="318" spans="1:32" s="93" customFormat="1" ht="12.75" customHeight="1">
      <c r="A318" s="137" t="s">
        <v>1895</v>
      </c>
      <c r="B318" s="177" t="s">
        <v>3433</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49" t="s">
        <v>6462</v>
      </c>
      <c r="E319" s="3949"/>
      <c r="F319" s="3949"/>
      <c r="G319" s="3949"/>
      <c r="H319" s="3949"/>
      <c r="I319" s="138"/>
      <c r="J319" s="3991" t="s">
        <v>3400</v>
      </c>
      <c r="K319" s="4025"/>
      <c r="L319" s="4025"/>
      <c r="M319" s="4119" t="s">
        <v>3379</v>
      </c>
      <c r="N319" s="4119"/>
      <c r="AE319" s="445"/>
      <c r="AF319" s="445"/>
    </row>
    <row r="320" spans="1:32" s="289" customFormat="1" ht="10.5" customHeight="1">
      <c r="A320" s="300"/>
      <c r="B320" s="2621"/>
      <c r="D320" s="3949"/>
      <c r="E320" s="3949"/>
      <c r="F320" s="3949"/>
      <c r="G320" s="3949"/>
      <c r="H320" s="3949"/>
      <c r="I320" s="2629"/>
      <c r="J320" s="4025"/>
      <c r="K320" s="4025"/>
      <c r="L320" s="4025"/>
      <c r="M320" s="36" t="s">
        <v>3380</v>
      </c>
      <c r="N320" s="2672" t="s">
        <v>3399</v>
      </c>
      <c r="P320" s="298"/>
    </row>
    <row r="321" spans="1:33" s="289" customFormat="1" ht="13.35" customHeight="1">
      <c r="A321" s="300"/>
      <c r="B321" s="2621"/>
      <c r="D321" s="3949"/>
      <c r="E321" s="3949"/>
      <c r="F321" s="3949"/>
      <c r="G321" s="3949"/>
      <c r="H321" s="3949"/>
      <c r="I321" s="52" t="s">
        <v>3538</v>
      </c>
      <c r="K321" s="2508">
        <v>3</v>
      </c>
      <c r="L321" s="892" t="str">
        <f>IF(K321&lt;M321,"Check!!!","")</f>
        <v/>
      </c>
      <c r="M321" s="1667">
        <f>ROUNDUP('Part VI-Revenues &amp; Expenses'!$P$67*'Part VIII-Threshold Criteria'!N321,0)</f>
        <v>3</v>
      </c>
      <c r="N321" s="1291">
        <f>'DCA Underwriting Assumptions'!$Q$155</f>
        <v>0.05</v>
      </c>
      <c r="O321" s="439" t="s">
        <v>3288</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49" t="s">
        <v>6463</v>
      </c>
      <c r="E322" s="3949"/>
      <c r="F322" s="3949"/>
      <c r="G322" s="3949"/>
      <c r="H322" s="3949"/>
      <c r="I322" s="774" t="s">
        <v>3539</v>
      </c>
      <c r="J322" s="289"/>
      <c r="K322" s="2509">
        <v>2</v>
      </c>
      <c r="L322" s="892" t="str">
        <f>IF(K322&lt;M322,"Check!!!","")</f>
        <v/>
      </c>
      <c r="M322" s="1668">
        <f>ROUNDUP(K321*'Part VIII-Threshold Criteria'!N322,0)</f>
        <v>2</v>
      </c>
      <c r="N322" s="1291">
        <f>'DCA Underwriting Assumptions'!$Q$156</f>
        <v>0.4</v>
      </c>
      <c r="O322" s="439" t="s">
        <v>2023</v>
      </c>
      <c r="P322" s="4156" t="s">
        <v>2769</v>
      </c>
      <c r="Q322" s="4154"/>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9"/>
      <c r="E323" s="3949"/>
      <c r="F323" s="3949"/>
      <c r="G323" s="3949"/>
      <c r="H323" s="3949"/>
      <c r="O323" s="40"/>
      <c r="P323" s="4157"/>
      <c r="Q323" s="4155"/>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9" t="s">
        <v>3371</v>
      </c>
      <c r="D324" s="3949"/>
      <c r="E324" s="3949"/>
      <c r="F324" s="3949"/>
      <c r="G324" s="3949"/>
      <c r="H324" s="3949"/>
      <c r="I324" s="52" t="s">
        <v>3540</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49"/>
      <c r="D325" s="3949"/>
      <c r="E325" s="3949"/>
      <c r="F325" s="3949"/>
      <c r="G325" s="3949"/>
      <c r="H325" s="3949"/>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9"/>
      <c r="D326" s="3949"/>
      <c r="E326" s="3949"/>
      <c r="F326" s="3949"/>
      <c r="G326" s="3949"/>
      <c r="H326" s="3949"/>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3" t="s">
        <v>3290</v>
      </c>
      <c r="C328" s="4083"/>
      <c r="D328" s="4083"/>
      <c r="E328" s="4083"/>
      <c r="F328" s="4083"/>
      <c r="G328" s="4083"/>
      <c r="H328" s="4083"/>
      <c r="I328" s="4083"/>
      <c r="J328" s="4083"/>
      <c r="K328" s="4083"/>
      <c r="L328" s="4083"/>
      <c r="M328" s="4083"/>
      <c r="N328" s="4083"/>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4135" t="s">
        <v>6932</v>
      </c>
      <c r="M329" s="4136"/>
      <c r="N329" s="4136"/>
      <c r="O329" s="4136"/>
      <c r="P329" s="4136"/>
      <c r="Q329" s="4137"/>
      <c r="R329" s="382"/>
      <c r="AE329" s="445"/>
      <c r="AF329" s="445"/>
    </row>
    <row r="330" spans="1:33" s="403" customFormat="1" ht="44.25" customHeight="1">
      <c r="B330" s="1305" t="s">
        <v>1658</v>
      </c>
      <c r="C330" s="3949" t="s">
        <v>3289</v>
      </c>
      <c r="D330" s="3949"/>
      <c r="E330" s="3949"/>
      <c r="F330" s="3949"/>
      <c r="G330" s="3949"/>
      <c r="H330" s="3949"/>
      <c r="I330" s="3949"/>
      <c r="J330" s="3949"/>
      <c r="K330" s="3949"/>
      <c r="L330" s="3949"/>
      <c r="M330" s="3949"/>
      <c r="N330" s="3949"/>
      <c r="O330" s="159" t="s">
        <v>3294</v>
      </c>
      <c r="P330" s="2502" t="s">
        <v>2769</v>
      </c>
      <c r="Q330" s="2967"/>
      <c r="AE330" s="444"/>
      <c r="AF330" s="444"/>
    </row>
    <row r="331" spans="1:33" s="403" customFormat="1" ht="34.5" customHeight="1">
      <c r="B331" s="1305" t="s">
        <v>1659</v>
      </c>
      <c r="C331" s="3949" t="s">
        <v>4009</v>
      </c>
      <c r="D331" s="3949"/>
      <c r="E331" s="3949"/>
      <c r="F331" s="3949"/>
      <c r="G331" s="3949"/>
      <c r="H331" s="3949"/>
      <c r="I331" s="3949"/>
      <c r="J331" s="3949"/>
      <c r="K331" s="3949"/>
      <c r="L331" s="3949"/>
      <c r="M331" s="3949"/>
      <c r="N331" s="3949"/>
      <c r="O331" s="159" t="s">
        <v>3295</v>
      </c>
      <c r="P331" s="2657" t="s">
        <v>2769</v>
      </c>
      <c r="Q331" s="2960"/>
      <c r="AE331" s="444"/>
      <c r="AF331" s="444"/>
    </row>
    <row r="332" spans="1:33" s="403" customFormat="1" ht="22.5" customHeight="1">
      <c r="B332" s="451" t="s">
        <v>1660</v>
      </c>
      <c r="C332" s="3949" t="s">
        <v>3292</v>
      </c>
      <c r="D332" s="3949"/>
      <c r="E332" s="3949"/>
      <c r="F332" s="3949"/>
      <c r="G332" s="3949"/>
      <c r="H332" s="3949"/>
      <c r="I332" s="3949"/>
      <c r="J332" s="3949"/>
      <c r="K332" s="3949"/>
      <c r="L332" s="3949"/>
      <c r="M332" s="3949"/>
      <c r="N332" s="3949"/>
      <c r="O332" s="159" t="s">
        <v>3296</v>
      </c>
      <c r="P332" s="2657" t="s">
        <v>2769</v>
      </c>
      <c r="Q332" s="2960"/>
      <c r="AE332" s="444"/>
      <c r="AF332" s="444"/>
    </row>
    <row r="333" spans="1:33" s="403" customFormat="1" ht="34.5" customHeight="1">
      <c r="B333" s="451" t="s">
        <v>2260</v>
      </c>
      <c r="C333" s="3949" t="s">
        <v>3293</v>
      </c>
      <c r="D333" s="3949"/>
      <c r="E333" s="3949"/>
      <c r="F333" s="3949"/>
      <c r="G333" s="3949"/>
      <c r="H333" s="3949"/>
      <c r="I333" s="3949"/>
      <c r="J333" s="3949"/>
      <c r="K333" s="3949"/>
      <c r="L333" s="3949"/>
      <c r="M333" s="3949"/>
      <c r="N333" s="3949"/>
      <c r="O333" s="159" t="s">
        <v>3297</v>
      </c>
      <c r="P333" s="2658" t="s">
        <v>2769</v>
      </c>
      <c r="Q333" s="2962"/>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3963" t="s">
        <v>6975</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58"/>
      <c r="B337" s="4159"/>
      <c r="C337" s="4159"/>
      <c r="D337" s="4159"/>
      <c r="E337" s="4159"/>
      <c r="F337" s="4159"/>
      <c r="G337" s="4159"/>
      <c r="H337" s="4159"/>
      <c r="I337" s="4159"/>
      <c r="J337" s="4159"/>
      <c r="K337" s="4159"/>
      <c r="L337" s="4159"/>
      <c r="M337" s="4159"/>
      <c r="N337" s="4159"/>
      <c r="O337" s="4159"/>
      <c r="P337" s="4159"/>
      <c r="Q337" s="4160"/>
    </row>
    <row r="338" spans="1:256 1523:1523" ht="14.1" customHeight="1">
      <c r="A338" s="2650" t="s">
        <v>3523</v>
      </c>
      <c r="B338" s="10" t="s">
        <v>2523</v>
      </c>
      <c r="C338" s="10"/>
      <c r="D338" s="10"/>
      <c r="E338" s="10"/>
      <c r="F338" s="10"/>
      <c r="G338" s="10"/>
      <c r="H338" s="2655"/>
      <c r="I338" s="2655"/>
      <c r="J338" s="2655"/>
      <c r="K338" s="2655"/>
      <c r="L338" s="2655"/>
      <c r="M338" s="2655"/>
      <c r="O338" s="130" t="s">
        <v>1781</v>
      </c>
      <c r="P338" s="3998"/>
      <c r="Q338" s="3999"/>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71" t="s">
        <v>2769</v>
      </c>
      <c r="Q340" s="2954"/>
    </row>
    <row r="341" spans="1:256 1523:1523" s="157" customFormat="1" ht="11.45" customHeight="1">
      <c r="A341" s="2511"/>
      <c r="B341" s="419" t="s">
        <v>3948</v>
      </c>
      <c r="E341" s="419"/>
      <c r="F341" s="419"/>
      <c r="G341" s="419"/>
      <c r="H341" s="419"/>
      <c r="I341" s="522"/>
      <c r="J341" s="378"/>
      <c r="K341" s="3995" t="s">
        <v>6933</v>
      </c>
      <c r="L341" s="3996"/>
      <c r="M341" s="3996"/>
      <c r="N341" s="399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9" t="s">
        <v>2673</v>
      </c>
      <c r="C343" s="3949"/>
      <c r="D343" s="3949"/>
      <c r="E343" s="3949"/>
      <c r="F343" s="3949"/>
      <c r="G343" s="3949"/>
      <c r="H343" s="3949"/>
      <c r="I343" s="3949"/>
      <c r="J343" s="3949"/>
      <c r="K343" s="3949"/>
      <c r="L343" s="3949"/>
      <c r="M343" s="3949"/>
      <c r="N343" s="3949"/>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2" t="s">
        <v>6615</v>
      </c>
      <c r="H345" s="4133"/>
      <c r="I345" s="4133"/>
      <c r="J345" s="4133"/>
      <c r="K345" s="4133"/>
      <c r="L345" s="4133"/>
      <c r="M345" s="4133"/>
      <c r="N345" s="4134"/>
      <c r="O345" s="213" t="s">
        <v>1658</v>
      </c>
      <c r="P345" s="2502" t="s">
        <v>2769</v>
      </c>
      <c r="Q345" s="2967"/>
      <c r="BFO345" s="146" t="s">
        <v>2569</v>
      </c>
    </row>
    <row r="346" spans="1:256 1523:1523" ht="23.25" customHeight="1">
      <c r="B346" s="773" t="s">
        <v>1659</v>
      </c>
      <c r="C346" s="3949" t="s">
        <v>1091</v>
      </c>
      <c r="D346" s="3949"/>
      <c r="E346" s="3949"/>
      <c r="F346" s="4000"/>
      <c r="G346" s="3434" t="s">
        <v>3381</v>
      </c>
      <c r="H346" s="4151"/>
      <c r="I346" s="4151"/>
      <c r="J346" s="4151"/>
      <c r="K346" s="4151"/>
      <c r="L346" s="4151"/>
      <c r="M346" s="4151"/>
      <c r="N346" s="4152"/>
      <c r="O346" s="213" t="s">
        <v>1659</v>
      </c>
      <c r="P346" s="2658"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4153" t="s">
        <v>6346</v>
      </c>
      <c r="H348" s="4153"/>
      <c r="I348" s="4153"/>
      <c r="J348" s="4153"/>
      <c r="K348" s="4153"/>
      <c r="L348" s="4153"/>
      <c r="M348" s="4153"/>
      <c r="N348" s="4153"/>
      <c r="O348" s="425"/>
      <c r="P348" s="1401"/>
      <c r="Q348" s="782"/>
      <c r="AE348" s="442"/>
      <c r="AF348" s="442"/>
    </row>
    <row r="349" spans="1:256 1523:1523" s="131" customFormat="1" ht="11.25" customHeight="1">
      <c r="A349" s="142"/>
      <c r="B349" s="213" t="s">
        <v>2324</v>
      </c>
      <c r="C349" s="4026"/>
      <c r="D349" s="4027"/>
      <c r="E349" s="4027"/>
      <c r="F349" s="4027"/>
      <c r="G349" s="4027"/>
      <c r="H349" s="4027"/>
      <c r="I349" s="4027"/>
      <c r="J349" s="4027"/>
      <c r="K349" s="4027"/>
      <c r="L349" s="4027"/>
      <c r="M349" s="4027"/>
      <c r="N349" s="4028"/>
      <c r="O349" s="213" t="s">
        <v>6611</v>
      </c>
      <c r="P349" s="2502"/>
      <c r="Q349" s="2967"/>
      <c r="AE349" s="442"/>
      <c r="AF349" s="442"/>
    </row>
    <row r="350" spans="1:256 1523:1523" s="131" customFormat="1" ht="11.25" customHeight="1">
      <c r="A350" s="142"/>
      <c r="B350" s="213" t="s">
        <v>2325</v>
      </c>
      <c r="C350" s="4116"/>
      <c r="D350" s="4117"/>
      <c r="E350" s="4117"/>
      <c r="F350" s="4117"/>
      <c r="G350" s="4117"/>
      <c r="H350" s="4117"/>
      <c r="I350" s="4117"/>
      <c r="J350" s="4117"/>
      <c r="K350" s="4117"/>
      <c r="L350" s="4117"/>
      <c r="M350" s="4117"/>
      <c r="N350" s="4118"/>
      <c r="O350" s="213" t="s">
        <v>6612</v>
      </c>
      <c r="P350" s="2658"/>
      <c r="Q350" s="2962"/>
      <c r="AE350" s="442"/>
      <c r="AF350" s="442"/>
    </row>
    <row r="351" spans="1:256 1523:1523" ht="22.5" customHeight="1">
      <c r="A351" s="140" t="s">
        <v>2021</v>
      </c>
      <c r="B351" s="4083" t="s">
        <v>6347</v>
      </c>
      <c r="C351" s="4083"/>
      <c r="D351" s="4083"/>
      <c r="E351" s="4083"/>
      <c r="F351" s="4083"/>
      <c r="G351" s="4083"/>
      <c r="H351" s="4083"/>
      <c r="I351" s="4083"/>
      <c r="J351" s="4083"/>
      <c r="K351" s="4083"/>
      <c r="L351" s="4083"/>
      <c r="M351" s="4083"/>
      <c r="N351" s="4083"/>
      <c r="O351" s="159" t="s">
        <v>2021</v>
      </c>
      <c r="P351" s="2658" t="s">
        <v>6920</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24" customHeight="1">
      <c r="A354" s="3963" t="s">
        <v>6976</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70"/>
      <c r="B356" s="3971"/>
      <c r="C356" s="3971"/>
      <c r="D356" s="3971"/>
      <c r="E356" s="3971"/>
      <c r="F356" s="3971"/>
      <c r="G356" s="3971"/>
      <c r="H356" s="3971"/>
      <c r="I356" s="3971"/>
      <c r="J356" s="3971"/>
      <c r="K356" s="3971"/>
      <c r="L356" s="3971"/>
      <c r="M356" s="3971"/>
      <c r="N356" s="3971"/>
      <c r="O356" s="3971"/>
      <c r="P356" s="3971"/>
      <c r="Q356" s="3972"/>
    </row>
    <row r="357" spans="1:31" ht="14.1" customHeight="1">
      <c r="A357" s="2650" t="s">
        <v>3524</v>
      </c>
      <c r="B357" s="177" t="s">
        <v>3542</v>
      </c>
      <c r="C357" s="2650"/>
      <c r="D357" s="2655"/>
      <c r="E357" s="2655"/>
      <c r="F357" s="2655"/>
      <c r="G357" s="2655"/>
      <c r="H357" s="2655"/>
      <c r="O357" s="130" t="s">
        <v>1781</v>
      </c>
      <c r="P357" s="3961"/>
      <c r="Q357" s="3962"/>
    </row>
    <row r="358" spans="1:31" ht="11.45" customHeight="1">
      <c r="A358" s="47" t="s">
        <v>1893</v>
      </c>
      <c r="B358" s="55" t="s">
        <v>6377</v>
      </c>
      <c r="O358" s="159" t="s">
        <v>1893</v>
      </c>
      <c r="P358" s="2492" t="s">
        <v>2769</v>
      </c>
      <c r="Q358" s="2952"/>
    </row>
    <row r="359" spans="1:31" ht="11.45" customHeight="1">
      <c r="A359" s="140" t="s">
        <v>1895</v>
      </c>
      <c r="B359" s="55" t="s">
        <v>3514</v>
      </c>
      <c r="O359" s="159" t="s">
        <v>1895</v>
      </c>
      <c r="P359" s="2666" t="s">
        <v>2769</v>
      </c>
      <c r="Q359" s="2953"/>
    </row>
    <row r="360" spans="1:31" ht="11.45" customHeight="1">
      <c r="A360" s="140" t="s">
        <v>719</v>
      </c>
      <c r="B360" s="143" t="s">
        <v>2246</v>
      </c>
      <c r="O360" s="159" t="s">
        <v>719</v>
      </c>
      <c r="P360" s="2666" t="s">
        <v>2772</v>
      </c>
      <c r="Q360" s="2953"/>
    </row>
    <row r="361" spans="1:31" ht="11.45" customHeight="1">
      <c r="A361" s="47" t="s">
        <v>2021</v>
      </c>
      <c r="B361" s="55" t="s">
        <v>3415</v>
      </c>
      <c r="O361" s="439" t="s">
        <v>2021</v>
      </c>
      <c r="P361" s="2671" t="s">
        <v>2772</v>
      </c>
      <c r="Q361" s="2954"/>
    </row>
    <row r="362" spans="1:31" ht="11.45" customHeight="1">
      <c r="A362" s="140" t="s">
        <v>1656</v>
      </c>
      <c r="B362" s="55" t="s">
        <v>2674</v>
      </c>
      <c r="N362" s="159" t="s">
        <v>1656</v>
      </c>
      <c r="O362" s="4129" t="s">
        <v>4252</v>
      </c>
      <c r="P362" s="4130"/>
      <c r="Q362" s="4131"/>
    </row>
    <row r="363" spans="1:31" ht="11.45" customHeight="1">
      <c r="A363" s="140" t="s">
        <v>1657</v>
      </c>
      <c r="B363" s="399" t="s">
        <v>2247</v>
      </c>
      <c r="N363" s="159" t="s">
        <v>1657</v>
      </c>
      <c r="O363" s="4001" t="s">
        <v>2675</v>
      </c>
      <c r="P363" s="4002"/>
      <c r="Q363" s="4003"/>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13.35" customHeight="1">
      <c r="A365" s="3963" t="s">
        <v>6977</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70"/>
      <c r="B367" s="3971"/>
      <c r="C367" s="3971"/>
      <c r="D367" s="3971"/>
      <c r="E367" s="3971"/>
      <c r="F367" s="3971"/>
      <c r="G367" s="3971"/>
      <c r="H367" s="3971"/>
      <c r="I367" s="3971"/>
      <c r="J367" s="3971"/>
      <c r="K367" s="3971"/>
      <c r="L367" s="3971"/>
      <c r="M367" s="3971"/>
      <c r="N367" s="3971"/>
      <c r="O367" s="3971"/>
      <c r="P367" s="3971"/>
      <c r="Q367" s="3972"/>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3527</v>
      </c>
      <c r="B369" s="4" t="s">
        <v>6348</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1"/>
      <c r="Q369" s="3962"/>
    </row>
    <row r="370" spans="1:32" ht="21.75" customHeight="1">
      <c r="A370" s="140" t="s">
        <v>1893</v>
      </c>
      <c r="B370" s="3969" t="s">
        <v>6351</v>
      </c>
      <c r="C370" s="3969"/>
      <c r="D370" s="3969"/>
      <c r="E370" s="3969"/>
      <c r="F370" s="3969"/>
      <c r="G370" s="3969"/>
      <c r="H370" s="3969"/>
      <c r="I370" s="3969"/>
      <c r="J370" s="3969"/>
      <c r="K370" s="3969"/>
      <c r="L370" s="3969"/>
      <c r="M370" s="3969"/>
      <c r="N370" s="3969"/>
      <c r="O370" s="159" t="s">
        <v>1893</v>
      </c>
      <c r="P370" s="2507"/>
      <c r="Q370" s="2973"/>
    </row>
    <row r="371" spans="1:32" s="146" customFormat="1">
      <c r="A371" s="140"/>
      <c r="B371" s="1305"/>
      <c r="C371" s="52" t="s">
        <v>1712</v>
      </c>
      <c r="D371" s="52"/>
      <c r="E371" s="1610">
        <f>'Part VI-Revenues &amp; Expenses'!$P$67</f>
        <v>48</v>
      </c>
      <c r="F371" s="52" t="s">
        <v>4079</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49" t="s">
        <v>6349</v>
      </c>
      <c r="C372" s="3949"/>
      <c r="D372" s="3949"/>
      <c r="E372" s="3949"/>
      <c r="F372" s="3949"/>
      <c r="G372" s="3949"/>
      <c r="H372" s="3949"/>
      <c r="I372" s="3949"/>
      <c r="J372" s="3949"/>
      <c r="K372" s="3949"/>
      <c r="L372" s="3949"/>
      <c r="M372" s="3949"/>
      <c r="N372" s="3949"/>
      <c r="O372" s="159" t="s">
        <v>1895</v>
      </c>
      <c r="P372" s="2507"/>
      <c r="Q372" s="2973"/>
    </row>
    <row r="373" spans="1:32" ht="12.75" customHeight="1">
      <c r="A373" s="140"/>
      <c r="C373" s="52" t="s">
        <v>6350</v>
      </c>
      <c r="D373" s="52"/>
      <c r="E373" s="52"/>
      <c r="F373" s="52"/>
      <c r="G373" s="52"/>
      <c r="H373" s="52"/>
      <c r="I373" s="52"/>
      <c r="J373" s="52"/>
      <c r="M373" s="4127"/>
      <c r="N373" s="4128"/>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3963" t="s">
        <v>2933</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70"/>
      <c r="B377" s="3971"/>
      <c r="C377" s="3971"/>
      <c r="D377" s="3971"/>
      <c r="E377" s="3971"/>
      <c r="F377" s="3971"/>
      <c r="G377" s="3971"/>
      <c r="H377" s="3971"/>
      <c r="I377" s="3971"/>
      <c r="J377" s="3971"/>
      <c r="K377" s="3971"/>
      <c r="L377" s="3971"/>
      <c r="M377" s="3971"/>
      <c r="N377" s="3971"/>
      <c r="O377" s="3971"/>
      <c r="P377" s="3971"/>
      <c r="Q377" s="3972"/>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3528</v>
      </c>
      <c r="B379" s="4" t="s">
        <v>3506</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1"/>
      <c r="Q379" s="3962"/>
    </row>
    <row r="380" spans="1:32" ht="10.5" customHeight="1">
      <c r="A380" s="47" t="s">
        <v>1893</v>
      </c>
      <c r="B380" s="133" t="s">
        <v>3507</v>
      </c>
      <c r="D380" s="148"/>
      <c r="E380" s="148"/>
      <c r="F380" s="148"/>
      <c r="G380" s="148"/>
      <c r="H380" s="439" t="s">
        <v>1893</v>
      </c>
      <c r="I380" s="4122"/>
      <c r="J380" s="4123"/>
      <c r="K380" s="4123"/>
      <c r="L380" s="4123"/>
      <c r="M380" s="4123"/>
      <c r="N380" s="4123"/>
      <c r="O380" s="4123"/>
      <c r="P380" s="4124"/>
      <c r="Q380" s="2952"/>
    </row>
    <row r="381" spans="1:32" ht="10.5" customHeight="1">
      <c r="A381" s="140" t="s">
        <v>1895</v>
      </c>
      <c r="B381" s="133" t="s">
        <v>3508</v>
      </c>
      <c r="D381" s="148"/>
      <c r="E381" s="148"/>
      <c r="F381" s="148"/>
      <c r="G381" s="148"/>
      <c r="H381" s="159" t="s">
        <v>1895</v>
      </c>
      <c r="I381" s="3957"/>
      <c r="J381" s="3958"/>
      <c r="K381" s="3958"/>
      <c r="L381" s="3958"/>
      <c r="M381" s="3958"/>
      <c r="N381" s="3958"/>
      <c r="O381" s="3958"/>
      <c r="P381" s="3959"/>
      <c r="Q381" s="2954"/>
    </row>
    <row r="382" spans="1:32" ht="21.75" customHeight="1">
      <c r="A382" s="140" t="s">
        <v>719</v>
      </c>
      <c r="B382" s="3969" t="s">
        <v>3499</v>
      </c>
      <c r="C382" s="3969"/>
      <c r="D382" s="3969"/>
      <c r="E382" s="3969"/>
      <c r="F382" s="3969"/>
      <c r="G382" s="3969"/>
      <c r="H382" s="3969"/>
      <c r="I382" s="3969"/>
      <c r="J382" s="3969"/>
      <c r="K382" s="3969"/>
      <c r="L382" s="3969"/>
      <c r="M382" s="3969"/>
      <c r="N382" s="3969"/>
      <c r="O382" s="159" t="s">
        <v>719</v>
      </c>
      <c r="P382" s="2664"/>
      <c r="Q382" s="2967"/>
    </row>
    <row r="383" spans="1:32" ht="21.75" customHeight="1">
      <c r="A383" s="140" t="s">
        <v>2021</v>
      </c>
      <c r="B383" s="3949" t="s">
        <v>3500</v>
      </c>
      <c r="C383" s="3949"/>
      <c r="D383" s="3949"/>
      <c r="E383" s="3949"/>
      <c r="F383" s="3949"/>
      <c r="G383" s="3949"/>
      <c r="H383" s="3949"/>
      <c r="I383" s="3949"/>
      <c r="J383" s="3949"/>
      <c r="K383" s="3949"/>
      <c r="L383" s="3949"/>
      <c r="M383" s="3949"/>
      <c r="N383" s="3949"/>
      <c r="O383" s="159" t="s">
        <v>2021</v>
      </c>
      <c r="P383" s="2657"/>
      <c r="Q383" s="2960"/>
    </row>
    <row r="384" spans="1:32" ht="10.5" customHeight="1">
      <c r="A384" s="140" t="s">
        <v>1656</v>
      </c>
      <c r="B384" s="52" t="s">
        <v>3501</v>
      </c>
      <c r="D384" s="52"/>
      <c r="E384" s="52"/>
      <c r="F384" s="52"/>
      <c r="G384" s="52"/>
      <c r="H384" s="52"/>
      <c r="I384" s="52"/>
      <c r="J384" s="52"/>
      <c r="K384" s="52"/>
      <c r="L384" s="52"/>
      <c r="M384" s="52"/>
      <c r="O384" s="159" t="s">
        <v>1656</v>
      </c>
      <c r="P384" s="2666"/>
      <c r="Q384" s="2953"/>
    </row>
    <row r="385" spans="1:32" s="131" customFormat="1" ht="21.75" customHeight="1">
      <c r="A385" s="140" t="s">
        <v>1657</v>
      </c>
      <c r="B385" s="3949" t="s">
        <v>3502</v>
      </c>
      <c r="C385" s="3949"/>
      <c r="D385" s="3949"/>
      <c r="E385" s="3949"/>
      <c r="F385" s="3949"/>
      <c r="G385" s="3949"/>
      <c r="H385" s="3949"/>
      <c r="I385" s="3949"/>
      <c r="J385" s="3949"/>
      <c r="K385" s="3949"/>
      <c r="L385" s="3949"/>
      <c r="M385" s="3949"/>
      <c r="N385" s="3949"/>
      <c r="O385" s="159" t="s">
        <v>1657</v>
      </c>
      <c r="P385" s="2663"/>
      <c r="Q385" s="2974"/>
      <c r="AE385" s="442"/>
      <c r="AF385" s="442"/>
    </row>
    <row r="386" spans="1:32" s="131" customFormat="1" ht="10.5" customHeight="1">
      <c r="A386" s="140" t="s">
        <v>1858</v>
      </c>
      <c r="B386" s="138" t="s">
        <v>3503</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4052</v>
      </c>
      <c r="E387" s="2655"/>
      <c r="F387" s="2655"/>
      <c r="G387" s="2655"/>
      <c r="H387" s="2655"/>
      <c r="I387" s="2655"/>
      <c r="J387" s="2655"/>
      <c r="K387" s="2655"/>
      <c r="L387" s="2655"/>
      <c r="M387" s="2655"/>
      <c r="N387" s="2655"/>
      <c r="P387" s="2658"/>
      <c r="Q387" s="2962"/>
      <c r="AE387" s="442"/>
      <c r="AF387" s="442"/>
    </row>
    <row r="388" spans="1:32" ht="21.75" customHeight="1">
      <c r="A388" s="140" t="s">
        <v>3124</v>
      </c>
      <c r="B388" s="3949" t="s">
        <v>3504</v>
      </c>
      <c r="C388" s="3949"/>
      <c r="D388" s="3949"/>
      <c r="E388" s="3949"/>
      <c r="F388" s="3949"/>
      <c r="G388" s="3949"/>
      <c r="H388" s="3949"/>
      <c r="I388" s="3949"/>
      <c r="J388" s="3949"/>
      <c r="K388" s="3949"/>
      <c r="L388" s="3949"/>
      <c r="M388" s="3949"/>
      <c r="N388" s="3949"/>
      <c r="O388" s="159" t="s">
        <v>3124</v>
      </c>
      <c r="P388" s="2502"/>
      <c r="Q388" s="2967"/>
    </row>
    <row r="389" spans="1:32" ht="33" customHeight="1">
      <c r="A389" s="140" t="s">
        <v>586</v>
      </c>
      <c r="B389" s="3949" t="s">
        <v>3505</v>
      </c>
      <c r="C389" s="3949"/>
      <c r="D389" s="3949"/>
      <c r="E389" s="3949"/>
      <c r="F389" s="3949"/>
      <c r="G389" s="3949"/>
      <c r="H389" s="3949"/>
      <c r="I389" s="3949"/>
      <c r="J389" s="3949"/>
      <c r="K389" s="3949"/>
      <c r="L389" s="3949"/>
      <c r="M389" s="3949"/>
      <c r="N389" s="3949"/>
      <c r="O389" s="159" t="s">
        <v>586</v>
      </c>
      <c r="P389" s="2658"/>
      <c r="Q389" s="2962"/>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31.5" customHeight="1">
      <c r="A391" s="3963" t="s">
        <v>6934</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70"/>
      <c r="B393" s="3971"/>
      <c r="C393" s="3971"/>
      <c r="D393" s="3971"/>
      <c r="E393" s="3971"/>
      <c r="F393" s="3971"/>
      <c r="G393" s="3971"/>
      <c r="H393" s="3971"/>
      <c r="I393" s="3971"/>
      <c r="J393" s="3971"/>
      <c r="K393" s="3971"/>
      <c r="L393" s="3971"/>
      <c r="M393" s="3971"/>
      <c r="N393" s="3971"/>
      <c r="O393" s="3971"/>
      <c r="P393" s="3971"/>
      <c r="Q393" s="3972"/>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3529</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97"/>
      <c r="F397" s="4098"/>
      <c r="G397" s="4098"/>
      <c r="H397" s="4098"/>
      <c r="I397" s="4099"/>
      <c r="J397" s="4100" t="s">
        <v>2526</v>
      </c>
      <c r="K397" s="4101"/>
      <c r="L397" s="4102"/>
      <c r="M397" s="4097"/>
      <c r="N397" s="4098"/>
      <c r="O397" s="4098"/>
      <c r="P397" s="4098"/>
      <c r="Q397" s="4099"/>
      <c r="AF397" s="35"/>
    </row>
    <row r="398" spans="1:32" s="131" customFormat="1" ht="22.5" customHeight="1">
      <c r="A398" s="140" t="s">
        <v>1895</v>
      </c>
      <c r="B398" s="3949" t="s">
        <v>3202</v>
      </c>
      <c r="C398" s="3949"/>
      <c r="D398" s="3949"/>
      <c r="E398" s="3949"/>
      <c r="F398" s="3949"/>
      <c r="G398" s="3949"/>
      <c r="H398" s="3949"/>
      <c r="I398" s="3949"/>
      <c r="J398" s="3949"/>
      <c r="K398" s="3949"/>
      <c r="L398" s="3949"/>
      <c r="M398" s="3949"/>
      <c r="N398" s="3949"/>
      <c r="O398" s="159" t="s">
        <v>1895</v>
      </c>
      <c r="P398" s="2657"/>
      <c r="Q398" s="2960"/>
      <c r="AE398" s="442"/>
    </row>
    <row r="399" spans="1:32">
      <c r="A399" s="140" t="s">
        <v>719</v>
      </c>
      <c r="B399" s="55" t="s">
        <v>3331</v>
      </c>
      <c r="G399" s="2659"/>
      <c r="H399" s="2659"/>
      <c r="I399" s="2659"/>
      <c r="J399" s="783" t="s">
        <v>3332</v>
      </c>
      <c r="L399" s="2659"/>
      <c r="M399" s="4125">
        <f>'Part III-Sources of Funds'!I6</f>
        <v>0</v>
      </c>
      <c r="N399" s="4126"/>
      <c r="O399" s="159" t="s">
        <v>719</v>
      </c>
      <c r="P399" s="2671"/>
      <c r="Q399" s="2954"/>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3963" t="s">
        <v>6935</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70"/>
      <c r="B403" s="3971"/>
      <c r="C403" s="3971"/>
      <c r="D403" s="3971"/>
      <c r="E403" s="3971"/>
      <c r="F403" s="3971"/>
      <c r="G403" s="3971"/>
      <c r="H403" s="3971"/>
      <c r="I403" s="3971"/>
      <c r="J403" s="3971"/>
      <c r="K403" s="3971"/>
      <c r="L403" s="3971"/>
      <c r="M403" s="3971"/>
      <c r="N403" s="3971"/>
      <c r="O403" s="3971"/>
      <c r="P403" s="3971"/>
      <c r="Q403" s="3972"/>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3530</v>
      </c>
      <c r="B405" s="4" t="s">
        <v>2524</v>
      </c>
      <c r="C405" s="4"/>
      <c r="D405" s="4"/>
      <c r="E405" s="2655"/>
      <c r="G405" s="138" t="s">
        <v>671</v>
      </c>
      <c r="H405" s="2655"/>
      <c r="I405" s="2655"/>
      <c r="J405" s="2655"/>
      <c r="K405" s="2655"/>
      <c r="L405" s="2655"/>
      <c r="M405" s="2655"/>
      <c r="O405" s="130" t="s">
        <v>1781</v>
      </c>
      <c r="P405" s="3961"/>
      <c r="Q405" s="4120"/>
      <c r="AF405" s="35"/>
    </row>
    <row r="406" spans="1:32" ht="12" customHeight="1">
      <c r="A406" s="47" t="s">
        <v>1893</v>
      </c>
      <c r="B406" s="52" t="s">
        <v>2527</v>
      </c>
      <c r="D406" s="784"/>
      <c r="E406" s="784"/>
      <c r="O406" s="439" t="s">
        <v>1893</v>
      </c>
      <c r="P406" s="2492"/>
      <c r="Q406" s="2952"/>
      <c r="AF406" s="35"/>
    </row>
    <row r="407" spans="1:32" ht="12" customHeight="1">
      <c r="A407" s="47" t="s">
        <v>1895</v>
      </c>
      <c r="B407" s="52" t="s">
        <v>3264</v>
      </c>
      <c r="D407" s="784"/>
      <c r="E407" s="784"/>
      <c r="O407" s="439" t="s">
        <v>1895</v>
      </c>
      <c r="P407" s="2666"/>
      <c r="Q407" s="2953"/>
      <c r="AF407" s="35"/>
    </row>
    <row r="408" spans="1:32" ht="12" customHeight="1">
      <c r="A408" s="47" t="s">
        <v>719</v>
      </c>
      <c r="B408" s="52" t="s">
        <v>4235</v>
      </c>
      <c r="D408" s="784"/>
      <c r="E408" s="784"/>
      <c r="O408" s="439" t="s">
        <v>719</v>
      </c>
      <c r="P408" s="2666"/>
      <c r="Q408" s="2953"/>
      <c r="AF408" s="35"/>
    </row>
    <row r="409" spans="1:32" ht="12" customHeight="1">
      <c r="A409" s="47" t="s">
        <v>2021</v>
      </c>
      <c r="B409" s="52" t="s">
        <v>3265</v>
      </c>
      <c r="E409" s="138"/>
      <c r="O409" s="439" t="s">
        <v>2021</v>
      </c>
      <c r="P409" s="2666"/>
      <c r="Q409" s="2953"/>
      <c r="AF409" s="35"/>
    </row>
    <row r="410" spans="1:32" ht="12" customHeight="1">
      <c r="A410" s="47" t="s">
        <v>1656</v>
      </c>
      <c r="B410" s="52" t="s">
        <v>1987</v>
      </c>
      <c r="E410" s="138"/>
      <c r="G410" s="439" t="s">
        <v>1656</v>
      </c>
      <c r="H410" s="4138"/>
      <c r="I410" s="4139"/>
      <c r="J410" s="4139"/>
      <c r="K410" s="4139"/>
      <c r="L410" s="4139"/>
      <c r="M410" s="4139"/>
      <c r="N410" s="4139"/>
      <c r="O410" s="4140"/>
      <c r="P410" s="2671"/>
      <c r="Q410" s="2954"/>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3963" t="s">
        <v>2933</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70"/>
      <c r="B414" s="3971"/>
      <c r="C414" s="3971"/>
      <c r="D414" s="3971"/>
      <c r="E414" s="3971"/>
      <c r="F414" s="3971"/>
      <c r="G414" s="3971"/>
      <c r="H414" s="3971"/>
      <c r="I414" s="3971"/>
      <c r="J414" s="3971"/>
      <c r="K414" s="3971"/>
      <c r="L414" s="3971"/>
      <c r="M414" s="3971"/>
      <c r="N414" s="3971"/>
      <c r="O414" s="3971"/>
      <c r="P414" s="3971"/>
      <c r="Q414" s="3972"/>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3531</v>
      </c>
      <c r="B416" s="4" t="s">
        <v>4137</v>
      </c>
      <c r="C416" s="4"/>
      <c r="D416" s="4"/>
      <c r="E416" s="4"/>
      <c r="F416" s="4"/>
      <c r="G416" s="4"/>
      <c r="H416" s="2655"/>
      <c r="I416" s="2655"/>
      <c r="J416" s="2655"/>
      <c r="K416" s="2655"/>
      <c r="L416" s="2655"/>
      <c r="M416" s="2655"/>
      <c r="O416" s="130" t="s">
        <v>1781</v>
      </c>
      <c r="P416" s="4144"/>
      <c r="Q416" s="4145"/>
      <c r="AF416" s="35"/>
    </row>
    <row r="417" spans="1:33" ht="12" customHeight="1">
      <c r="B417" s="55" t="s">
        <v>6546</v>
      </c>
      <c r="O417" s="65"/>
      <c r="P417" s="2493"/>
      <c r="Q417" s="2955"/>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4236</v>
      </c>
      <c r="D420" s="55" t="s">
        <v>4237</v>
      </c>
      <c r="E420" s="42"/>
      <c r="F420" s="42"/>
      <c r="G420" s="42"/>
      <c r="H420" s="42"/>
      <c r="I420" s="42"/>
      <c r="J420" s="42"/>
      <c r="K420" s="42"/>
      <c r="L420" s="42"/>
      <c r="M420" s="42"/>
      <c r="N420" s="42"/>
      <c r="O420" s="439" t="s">
        <v>4236</v>
      </c>
      <c r="P420" s="3952"/>
      <c r="Q420" s="3950"/>
      <c r="AF420" s="35"/>
    </row>
    <row r="421" spans="1:33" ht="12" customHeight="1">
      <c r="A421" s="47"/>
      <c r="D421" s="52" t="s">
        <v>6836</v>
      </c>
      <c r="E421" s="52"/>
      <c r="F421" s="52"/>
      <c r="G421" s="52"/>
      <c r="H421" s="52"/>
      <c r="I421" s="52"/>
      <c r="J421" s="52"/>
      <c r="K421" s="52"/>
      <c r="L421" s="52"/>
      <c r="M421" s="52"/>
      <c r="N421" s="42"/>
      <c r="O421" s="1487"/>
      <c r="P421" s="3953"/>
      <c r="Q421" s="3951"/>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4140</v>
      </c>
      <c r="D423" s="52" t="s">
        <v>3261</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49" t="s">
        <v>6401</v>
      </c>
      <c r="D425" s="3949"/>
      <c r="E425" s="3949"/>
      <c r="F425" s="3949"/>
      <c r="G425" s="133" t="s">
        <v>4141</v>
      </c>
      <c r="J425" s="2515"/>
      <c r="K425" s="2976"/>
      <c r="M425" s="133" t="s">
        <v>6493</v>
      </c>
      <c r="P425" s="2516"/>
      <c r="Q425" s="2977"/>
    </row>
    <row r="426" spans="1:33" ht="12" customHeight="1">
      <c r="A426" s="47"/>
      <c r="C426" s="3949"/>
      <c r="D426" s="3949"/>
      <c r="E426" s="3949"/>
      <c r="F426" s="3949"/>
      <c r="G426" s="133" t="s">
        <v>6492</v>
      </c>
      <c r="J426" s="2517"/>
      <c r="K426" s="2978"/>
      <c r="M426" s="133" t="s">
        <v>6494</v>
      </c>
      <c r="P426" s="2517"/>
      <c r="Q426" s="2978"/>
    </row>
    <row r="427" spans="1:33" ht="8.25" customHeight="1">
      <c r="A427" s="47"/>
      <c r="C427" s="3949"/>
      <c r="D427" s="3949"/>
      <c r="E427" s="3949"/>
      <c r="F427" s="3949"/>
      <c r="J427" s="1603"/>
      <c r="L427" s="783"/>
      <c r="M427" s="42"/>
      <c r="N427" s="439"/>
    </row>
    <row r="428" spans="1:33" s="93" customFormat="1" ht="12.75" customHeight="1">
      <c r="A428" s="137"/>
      <c r="B428" s="177"/>
      <c r="D428" s="970"/>
      <c r="E428" s="970"/>
      <c r="F428" s="970"/>
      <c r="G428" s="970"/>
      <c r="H428" s="970"/>
      <c r="I428" s="3991" t="s">
        <v>6435</v>
      </c>
      <c r="J428" s="3991" t="s">
        <v>6436</v>
      </c>
      <c r="K428" s="3991" t="s">
        <v>6438</v>
      </c>
      <c r="L428" s="3991"/>
      <c r="M428" s="3991"/>
      <c r="N428" s="4161" t="s">
        <v>6437</v>
      </c>
      <c r="O428" s="439"/>
      <c r="P428" s="439"/>
      <c r="Q428" s="439"/>
      <c r="AE428" s="445"/>
    </row>
    <row r="429" spans="1:33" s="93" customFormat="1" ht="12.75" customHeight="1">
      <c r="A429" s="137"/>
      <c r="B429" s="177"/>
      <c r="D429" s="970"/>
      <c r="E429" s="970"/>
      <c r="F429" s="970"/>
      <c r="G429" s="970"/>
      <c r="H429" s="970"/>
      <c r="I429" s="3992"/>
      <c r="J429" s="3991"/>
      <c r="K429" s="3991"/>
      <c r="L429" s="3991"/>
      <c r="M429" s="3991"/>
      <c r="N429" s="4162"/>
      <c r="O429" s="439"/>
      <c r="P429" s="439"/>
      <c r="Q429" s="439"/>
      <c r="AE429" s="445"/>
    </row>
    <row r="430" spans="1:33" s="93" customFormat="1" ht="12.75" customHeight="1">
      <c r="A430" s="173"/>
      <c r="B430" s="1305"/>
      <c r="C430" s="3949" t="s">
        <v>6599</v>
      </c>
      <c r="D430" s="3949"/>
      <c r="E430" s="3949"/>
      <c r="F430" s="3949"/>
      <c r="G430" s="3949"/>
      <c r="H430" s="3949"/>
      <c r="I430" s="1582">
        <f>$K$321</f>
        <v>3</v>
      </c>
      <c r="J430" s="2518"/>
      <c r="K430" s="4016"/>
      <c r="L430" s="4016"/>
      <c r="M430" s="4017"/>
      <c r="N430" s="1664">
        <f>MAX(J430,K430)</f>
        <v>0</v>
      </c>
      <c r="O430" s="64" t="s">
        <v>2328</v>
      </c>
      <c r="P430" s="2493"/>
      <c r="Q430" s="2955"/>
      <c r="AE430" s="445"/>
      <c r="AF430" s="445"/>
    </row>
    <row r="431" spans="1:33" s="289" customFormat="1" ht="12.75" customHeight="1">
      <c r="A431" s="300"/>
      <c r="B431" s="2621"/>
      <c r="C431" s="3949"/>
      <c r="D431" s="3949"/>
      <c r="E431" s="3949"/>
      <c r="F431" s="3949"/>
      <c r="G431" s="3949"/>
      <c r="H431" s="3949"/>
      <c r="I431" s="2629"/>
      <c r="J431" s="2979"/>
      <c r="K431" s="4163"/>
      <c r="L431" s="4163"/>
      <c r="M431" s="4164"/>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 t="shared" ref="Z432:AG432" si="3">IF(AA432="","",IF(AA432&lt;AC432,"Check!!!",""))</f>
        <v/>
      </c>
      <c r="AA432" s="892" t="str">
        <f t="shared" si="3"/>
        <v/>
      </c>
      <c r="AB432" s="892" t="str">
        <f t="shared" si="3"/>
        <v/>
      </c>
      <c r="AC432" s="892" t="str">
        <f t="shared" si="3"/>
        <v/>
      </c>
      <c r="AD432" s="892" t="str">
        <f t="shared" si="3"/>
        <v/>
      </c>
      <c r="AE432" s="892" t="str">
        <f t="shared" si="3"/>
        <v/>
      </c>
      <c r="AF432" s="892" t="str">
        <f t="shared" si="3"/>
        <v/>
      </c>
      <c r="AG432" s="892" t="str">
        <f t="shared" si="3"/>
        <v/>
      </c>
    </row>
    <row r="433" spans="1:33" s="93" customFormat="1" ht="12.75" customHeight="1">
      <c r="A433" s="140"/>
      <c r="B433" s="1305"/>
      <c r="D433" s="138" t="s">
        <v>6439</v>
      </c>
      <c r="E433" s="138"/>
      <c r="F433" s="138"/>
      <c r="G433" s="138"/>
      <c r="H433" s="138"/>
      <c r="I433" s="1582">
        <f>$K$322</f>
        <v>2</v>
      </c>
      <c r="J433" s="2518"/>
      <c r="K433" s="4016"/>
      <c r="L433" s="4016"/>
      <c r="M433" s="4017"/>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163"/>
      <c r="L434" s="4163"/>
      <c r="M434" s="4164"/>
      <c r="N434" s="1664">
        <f>MAX(J434,K434)</f>
        <v>0</v>
      </c>
      <c r="O434" s="40"/>
      <c r="P434" s="40"/>
      <c r="Q434" s="40"/>
      <c r="V434" s="36"/>
      <c r="W434" s="774"/>
      <c r="X434" s="36"/>
      <c r="Z434" s="892" t="str">
        <f t="shared" ref="Z434:AG434" si="4">IF(AA434="","",IF(AA434&lt;AC434,"Check!!!",""))</f>
        <v/>
      </c>
      <c r="AA434" s="892" t="str">
        <f t="shared" si="4"/>
        <v/>
      </c>
      <c r="AB434" s="892" t="str">
        <f t="shared" si="4"/>
        <v/>
      </c>
      <c r="AC434" s="892" t="str">
        <f t="shared" si="4"/>
        <v/>
      </c>
      <c r="AD434" s="892" t="str">
        <f t="shared" si="4"/>
        <v/>
      </c>
      <c r="AE434" s="892" t="str">
        <f t="shared" si="4"/>
        <v/>
      </c>
      <c r="AF434" s="892" t="str">
        <f t="shared" si="4"/>
        <v/>
      </c>
      <c r="AG434" s="892" t="str">
        <f t="shared" si="4"/>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9" t="s">
        <v>6600</v>
      </c>
      <c r="D436" s="3949"/>
      <c r="E436" s="3949"/>
      <c r="F436" s="3949"/>
      <c r="G436" s="3949"/>
      <c r="H436" s="3949"/>
      <c r="I436" s="1582">
        <f>$K$324</f>
        <v>1</v>
      </c>
      <c r="J436" s="2518"/>
      <c r="K436" s="4016"/>
      <c r="L436" s="4016"/>
      <c r="M436" s="4017"/>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49"/>
      <c r="D437" s="3949"/>
      <c r="E437" s="3949"/>
      <c r="F437" s="3949"/>
      <c r="G437" s="3949"/>
      <c r="H437" s="3949"/>
      <c r="J437" s="2979"/>
      <c r="K437" s="4163"/>
      <c r="L437" s="4163"/>
      <c r="M437" s="4164"/>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2324</v>
      </c>
      <c r="P440" s="2493" t="s">
        <v>1691</v>
      </c>
      <c r="Q440" s="2955" t="s">
        <v>1691</v>
      </c>
    </row>
    <row r="441" spans="1:33" ht="12" customHeight="1">
      <c r="A441" s="42"/>
      <c r="B441" s="146"/>
      <c r="D441" s="4150" t="s">
        <v>6497</v>
      </c>
      <c r="E441" s="1274" t="s">
        <v>2347</v>
      </c>
      <c r="F441" s="418" t="s">
        <v>3426</v>
      </c>
      <c r="G441" s="4146"/>
      <c r="H441" s="4147"/>
      <c r="I441" s="4147"/>
      <c r="J441" s="4147"/>
      <c r="K441" s="4148"/>
      <c r="L441" s="1274"/>
    </row>
    <row r="442" spans="1:33" ht="12" customHeight="1">
      <c r="B442" s="146"/>
      <c r="D442" s="4150"/>
      <c r="E442" s="1274" t="s">
        <v>4138</v>
      </c>
      <c r="F442" s="418" t="s">
        <v>4139</v>
      </c>
      <c r="G442" s="4094" t="s">
        <v>3334</v>
      </c>
      <c r="H442" s="4095"/>
      <c r="I442" s="4096"/>
      <c r="J442" s="418" t="s">
        <v>3966</v>
      </c>
      <c r="K442" s="146"/>
      <c r="M442" s="4146"/>
      <c r="N442" s="4147"/>
      <c r="O442" s="4147"/>
      <c r="P442" s="4147"/>
      <c r="Q442" s="4148"/>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141"/>
      <c r="C444" s="4142"/>
      <c r="D444" s="4142"/>
      <c r="E444" s="4142"/>
      <c r="F444" s="4142"/>
      <c r="G444" s="4142"/>
      <c r="H444" s="4142"/>
      <c r="I444" s="4142"/>
      <c r="J444" s="4142"/>
      <c r="K444" s="4142"/>
      <c r="L444" s="4142"/>
      <c r="M444" s="4142"/>
      <c r="N444" s="4142"/>
      <c r="O444" s="4142"/>
      <c r="P444" s="4142"/>
      <c r="Q444" s="4143"/>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49" t="s">
        <v>4238</v>
      </c>
      <c r="C446" s="3949"/>
      <c r="D446" s="3949"/>
      <c r="E446" s="3949"/>
      <c r="F446" s="3949"/>
      <c r="G446" s="3949"/>
      <c r="H446" s="3949"/>
      <c r="I446" s="3949"/>
      <c r="J446" s="3949"/>
      <c r="K446" s="3949"/>
      <c r="L446" s="3949"/>
      <c r="M446" s="3949"/>
      <c r="N446" s="3949"/>
      <c r="T446" s="443"/>
      <c r="AE446" s="443"/>
      <c r="AF446" s="443"/>
    </row>
    <row r="447" spans="1:33" s="146" customFormat="1" ht="12" customHeight="1">
      <c r="A447" s="140"/>
      <c r="B447" s="773" t="s">
        <v>4142</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9" t="s">
        <v>4143</v>
      </c>
      <c r="C448" s="3949"/>
      <c r="D448" s="3949"/>
      <c r="E448" s="3949"/>
      <c r="F448" s="3949"/>
      <c r="G448" s="3949"/>
      <c r="H448" s="3949"/>
      <c r="I448" s="3949"/>
      <c r="J448" s="3949"/>
      <c r="K448" s="3949"/>
      <c r="L448" s="3949"/>
      <c r="M448" s="3949"/>
      <c r="N448" s="3949"/>
      <c r="O448" s="159" t="s">
        <v>1895</v>
      </c>
      <c r="P448" s="2507"/>
      <c r="Q448" s="2973"/>
      <c r="T448" s="443"/>
      <c r="AE448" s="443"/>
      <c r="AF448" s="443"/>
    </row>
    <row r="449" spans="1:32" ht="12" customHeight="1">
      <c r="B449" s="139" t="s">
        <v>3372</v>
      </c>
      <c r="D449" s="139"/>
      <c r="E449" s="139"/>
      <c r="F449" s="139"/>
      <c r="G449" s="139"/>
      <c r="H449" s="40"/>
      <c r="I449" s="2672"/>
      <c r="J449" s="2672"/>
      <c r="K449" s="2672"/>
    </row>
    <row r="450" spans="1:32" ht="33.6" customHeight="1">
      <c r="A450" s="3963" t="s">
        <v>2933</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70"/>
      <c r="B452" s="3971"/>
      <c r="C452" s="3971"/>
      <c r="D452" s="3971"/>
      <c r="E452" s="3971"/>
      <c r="F452" s="3971"/>
      <c r="G452" s="3971"/>
      <c r="H452" s="3971"/>
      <c r="I452" s="3971"/>
      <c r="J452" s="3971"/>
      <c r="K452" s="3971"/>
      <c r="L452" s="3971"/>
      <c r="M452" s="3971"/>
      <c r="N452" s="3971"/>
      <c r="O452" s="3971"/>
      <c r="P452" s="3971"/>
      <c r="Q452" s="3972"/>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3532</v>
      </c>
      <c r="B454" s="4" t="s">
        <v>2619</v>
      </c>
      <c r="C454" s="4"/>
      <c r="D454" s="86"/>
      <c r="E454" s="2655"/>
      <c r="F454" s="2655"/>
      <c r="G454" s="2655"/>
      <c r="H454" s="2655"/>
      <c r="O454" s="130" t="s">
        <v>1781</v>
      </c>
      <c r="P454" s="3961"/>
      <c r="Q454" s="3962"/>
    </row>
    <row r="455" spans="1:32" ht="14.1" customHeight="1">
      <c r="B455" s="86" t="s">
        <v>4082</v>
      </c>
      <c r="C455" s="4"/>
      <c r="D455" s="86"/>
      <c r="E455" s="2655"/>
      <c r="F455" s="2655"/>
      <c r="G455" s="2655"/>
      <c r="H455" s="2655"/>
    </row>
    <row r="456" spans="1:32" s="131" customFormat="1" ht="21.75" customHeight="1">
      <c r="A456" s="140" t="s">
        <v>1893</v>
      </c>
      <c r="B456" s="4083" t="s">
        <v>3456</v>
      </c>
      <c r="C456" s="4083"/>
      <c r="D456" s="4083"/>
      <c r="E456" s="4083"/>
      <c r="F456" s="4083"/>
      <c r="G456" s="4083"/>
      <c r="H456" s="4083"/>
      <c r="I456" s="4083"/>
      <c r="J456" s="4083"/>
      <c r="K456" s="4083"/>
      <c r="L456" s="4083"/>
      <c r="M456" s="4083"/>
      <c r="N456" s="4083"/>
      <c r="O456" s="159" t="s">
        <v>1893</v>
      </c>
      <c r="P456" s="2502" t="s">
        <v>6920</v>
      </c>
      <c r="Q456" s="2967"/>
      <c r="AE456" s="442"/>
      <c r="AF456" s="442"/>
    </row>
    <row r="457" spans="1:32" s="131" customFormat="1" ht="22.5" customHeight="1">
      <c r="A457" s="140" t="s">
        <v>1895</v>
      </c>
      <c r="B457" s="4083" t="s">
        <v>3455</v>
      </c>
      <c r="C457" s="4083"/>
      <c r="D457" s="4083"/>
      <c r="E457" s="4083"/>
      <c r="F457" s="4083"/>
      <c r="G457" s="4083"/>
      <c r="H457" s="4083"/>
      <c r="I457" s="4083"/>
      <c r="J457" s="4083"/>
      <c r="K457" s="4083"/>
      <c r="L457" s="4083"/>
      <c r="M457" s="4083"/>
      <c r="N457" s="4083"/>
      <c r="O457" s="159" t="s">
        <v>1895</v>
      </c>
      <c r="P457" s="2657" t="s">
        <v>6920</v>
      </c>
      <c r="Q457" s="2960"/>
      <c r="AE457" s="442"/>
      <c r="AF457" s="442"/>
    </row>
    <row r="458" spans="1:32" s="131" customFormat="1" ht="22.5" customHeight="1">
      <c r="B458" s="1305" t="s">
        <v>1658</v>
      </c>
      <c r="C458" s="4083" t="s">
        <v>4048</v>
      </c>
      <c r="D458" s="4083"/>
      <c r="E458" s="4083"/>
      <c r="F458" s="4083"/>
      <c r="G458" s="4083"/>
      <c r="H458" s="4083"/>
      <c r="I458" s="4083"/>
      <c r="J458" s="4083"/>
      <c r="K458" s="4083"/>
      <c r="L458" s="4083"/>
      <c r="M458" s="4083"/>
      <c r="N458" s="4083"/>
      <c r="O458" s="159" t="s">
        <v>1658</v>
      </c>
      <c r="P458" s="2657" t="s">
        <v>6920</v>
      </c>
      <c r="Q458" s="2960"/>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666" t="s">
        <v>6920</v>
      </c>
      <c r="Q459" s="2953"/>
      <c r="AE459" s="50"/>
      <c r="AF459" s="50"/>
    </row>
    <row r="460" spans="1:32" s="131" customFormat="1" ht="33" customHeight="1">
      <c r="B460" s="451" t="s">
        <v>1660</v>
      </c>
      <c r="C460" s="4083" t="s">
        <v>4050</v>
      </c>
      <c r="D460" s="4083"/>
      <c r="E460" s="4083"/>
      <c r="F460" s="4083"/>
      <c r="G460" s="4083"/>
      <c r="H460" s="4083"/>
      <c r="I460" s="4083"/>
      <c r="J460" s="4083"/>
      <c r="K460" s="4083"/>
      <c r="L460" s="4083"/>
      <c r="M460" s="4083"/>
      <c r="N460" s="4083"/>
      <c r="O460" s="159" t="s">
        <v>1660</v>
      </c>
      <c r="P460" s="2657" t="s">
        <v>6920</v>
      </c>
      <c r="Q460" s="2960"/>
      <c r="AE460" s="442"/>
      <c r="AF460" s="442"/>
    </row>
    <row r="461" spans="1:32" s="131" customFormat="1" ht="22.5" customHeight="1">
      <c r="B461" s="451" t="s">
        <v>2260</v>
      </c>
      <c r="C461" s="4083" t="s">
        <v>4051</v>
      </c>
      <c r="D461" s="4083"/>
      <c r="E461" s="4083"/>
      <c r="F461" s="4083"/>
      <c r="G461" s="4083"/>
      <c r="H461" s="4083"/>
      <c r="I461" s="4083"/>
      <c r="J461" s="4083"/>
      <c r="K461" s="4083"/>
      <c r="L461" s="4083"/>
      <c r="M461" s="4083"/>
      <c r="N461" s="4083"/>
      <c r="O461" s="159" t="s">
        <v>2260</v>
      </c>
      <c r="P461" s="2657" t="s">
        <v>6920</v>
      </c>
      <c r="Q461" s="2960"/>
      <c r="AE461" s="442"/>
      <c r="AF461" s="442"/>
    </row>
    <row r="462" spans="1:32" s="131" customFormat="1" ht="22.5" customHeight="1">
      <c r="A462" s="140" t="s">
        <v>719</v>
      </c>
      <c r="B462" s="4083" t="s">
        <v>3457</v>
      </c>
      <c r="C462" s="4083"/>
      <c r="D462" s="4083"/>
      <c r="E462" s="4083"/>
      <c r="F462" s="4083"/>
      <c r="G462" s="4083"/>
      <c r="H462" s="4083"/>
      <c r="I462" s="4083"/>
      <c r="J462" s="4083"/>
      <c r="K462" s="4083"/>
      <c r="L462" s="4083"/>
      <c r="M462" s="4083"/>
      <c r="N462" s="4083"/>
      <c r="O462" s="159" t="s">
        <v>719</v>
      </c>
      <c r="P462" s="2657" t="s">
        <v>6920</v>
      </c>
      <c r="Q462" s="2960"/>
      <c r="AE462" s="442"/>
      <c r="AF462" s="442"/>
    </row>
    <row r="463" spans="1:32" s="131" customFormat="1" ht="22.5" customHeight="1">
      <c r="A463" s="140" t="s">
        <v>2021</v>
      </c>
      <c r="B463" s="4083" t="s">
        <v>4109</v>
      </c>
      <c r="C463" s="4083"/>
      <c r="D463" s="4083"/>
      <c r="E463" s="4083"/>
      <c r="F463" s="4083"/>
      <c r="G463" s="4083"/>
      <c r="H463" s="4083"/>
      <c r="I463" s="4083"/>
      <c r="J463" s="4083"/>
      <c r="K463" s="4083"/>
      <c r="L463" s="4083"/>
      <c r="M463" s="4083"/>
      <c r="N463" s="4083"/>
      <c r="O463" s="159" t="s">
        <v>2021</v>
      </c>
      <c r="P463" s="2657" t="s">
        <v>6920</v>
      </c>
      <c r="Q463" s="2960"/>
      <c r="AE463" s="442"/>
      <c r="AF463" s="442"/>
    </row>
    <row r="464" spans="1:32" s="131" customFormat="1" ht="21.75" customHeight="1">
      <c r="A464" s="140" t="s">
        <v>1656</v>
      </c>
      <c r="B464" s="4083" t="s">
        <v>4110</v>
      </c>
      <c r="C464" s="4083"/>
      <c r="D464" s="4083"/>
      <c r="E464" s="4083"/>
      <c r="F464" s="4083"/>
      <c r="G464" s="4083"/>
      <c r="H464" s="4083"/>
      <c r="I464" s="4083"/>
      <c r="J464" s="4083"/>
      <c r="K464" s="4083"/>
      <c r="L464" s="4083"/>
      <c r="M464" s="4083"/>
      <c r="N464" s="4083"/>
      <c r="O464" s="159" t="s">
        <v>1656</v>
      </c>
      <c r="P464" s="2657" t="s">
        <v>6920</v>
      </c>
      <c r="Q464" s="2960"/>
      <c r="AE464" s="442"/>
      <c r="AF464" s="442"/>
    </row>
    <row r="465" spans="1:32" s="403" customFormat="1" ht="21.75" customHeight="1">
      <c r="A465" s="140" t="s">
        <v>1657</v>
      </c>
      <c r="B465" s="4083" t="s">
        <v>4153</v>
      </c>
      <c r="C465" s="4083"/>
      <c r="D465" s="4083"/>
      <c r="E465" s="4083"/>
      <c r="F465" s="4083"/>
      <c r="G465" s="4083"/>
      <c r="H465" s="4083"/>
      <c r="I465" s="4083"/>
      <c r="J465" s="4083"/>
      <c r="K465" s="4083"/>
      <c r="L465" s="4083"/>
      <c r="M465" s="4083"/>
      <c r="N465" s="4083"/>
      <c r="O465" s="159" t="s">
        <v>1657</v>
      </c>
      <c r="P465" s="2658" t="s">
        <v>6920</v>
      </c>
      <c r="Q465" s="2962"/>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3963" t="s">
        <v>6936</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70"/>
      <c r="B469" s="3971"/>
      <c r="C469" s="3971"/>
      <c r="D469" s="3971"/>
      <c r="E469" s="3971"/>
      <c r="F469" s="3971"/>
      <c r="G469" s="3971"/>
      <c r="H469" s="3971"/>
      <c r="I469" s="3971"/>
      <c r="J469" s="3971"/>
      <c r="K469" s="3971"/>
      <c r="L469" s="3971"/>
      <c r="M469" s="3971"/>
      <c r="N469" s="3971"/>
      <c r="O469" s="3971"/>
      <c r="P469" s="3971"/>
      <c r="Q469" s="3972"/>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3967</v>
      </c>
      <c r="B471" s="4"/>
      <c r="C471" s="4" t="s">
        <v>2525</v>
      </c>
      <c r="D471" s="86"/>
      <c r="E471" s="2655"/>
      <c r="F471" s="2655"/>
      <c r="G471" s="2655"/>
      <c r="H471" s="2655"/>
      <c r="J471" s="2655"/>
      <c r="K471" s="2655"/>
      <c r="L471" s="2655"/>
      <c r="M471" s="2655"/>
      <c r="O471" s="130" t="s">
        <v>1781</v>
      </c>
      <c r="P471" s="3961"/>
      <c r="Q471" s="3962"/>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26.25" customHeight="1">
      <c r="A473" s="3963" t="s">
        <v>6937</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70"/>
      <c r="B475" s="3971"/>
      <c r="C475" s="3971"/>
      <c r="D475" s="3971"/>
      <c r="E475" s="3971"/>
      <c r="F475" s="3971"/>
      <c r="G475" s="3971"/>
      <c r="H475" s="3971"/>
      <c r="I475" s="3971"/>
      <c r="J475" s="3971"/>
      <c r="K475" s="3971"/>
      <c r="L475" s="3971"/>
      <c r="M475" s="3971"/>
      <c r="N475" s="3971"/>
      <c r="O475" s="3971"/>
      <c r="P475" s="3971"/>
      <c r="Q475" s="3972"/>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6461</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3386</v>
      </c>
      <c r="R547" s="55"/>
      <c r="AE547" s="915"/>
      <c r="AF547" s="915"/>
    </row>
    <row r="548" spans="1:32" s="912" customFormat="1" ht="11.25">
      <c r="A548" s="55"/>
      <c r="B548" s="55"/>
      <c r="M548" s="912" t="s">
        <v>3475</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3476</v>
      </c>
      <c r="R550" s="55"/>
      <c r="AE550" s="915"/>
      <c r="AF550" s="915"/>
    </row>
    <row r="551" spans="1:32" s="430" customFormat="1">
      <c r="A551" s="146"/>
      <c r="B551" s="146"/>
      <c r="M551" s="912" t="s">
        <v>3388</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4CKocu+FCpXfNdjKp62omZZCfh/895GWDYDrE6+pudnbRBWYuyXEyZc3/03NUUl4SP0O2Ulp6pAoaXUwW3sPg==" saltValue="vswnMgnI/4Rd1hjvvv+ff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30" priority="6" stopIfTrue="1" operator="greaterThan">
      <formula>0</formula>
    </cfRule>
  </conditionalFormatting>
  <conditionalFormatting sqref="R40:R42">
    <cfRule type="cellIs" dxfId="29"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M44" zoomScale="106" zoomScaleNormal="106" workbookViewId="0">
      <selection activeCell="M44"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2" t="str">
        <f>CONCATENATE("PART NINE - SCORING CRITERIA","  -  ",'Part I-Project Information'!$O$7," ",'Part I-Project Information'!$F$35,", ",'Part I-Project Information'!F39,", ",'Part I-Project Information'!J40," County")</f>
        <v>PART NINE - SCORING CRITERIA  -  2021-014 Dunbar Court, Byron, Peach County</v>
      </c>
      <c r="B1" s="3593"/>
      <c r="C1" s="3593"/>
      <c r="D1" s="3593"/>
      <c r="E1" s="3593"/>
      <c r="F1" s="3593"/>
      <c r="G1" s="3593"/>
      <c r="H1" s="3593"/>
      <c r="I1" s="3593"/>
      <c r="J1" s="3593"/>
      <c r="K1" s="3593"/>
      <c r="L1" s="3593"/>
      <c r="M1" s="3593"/>
      <c r="N1" s="3593"/>
      <c r="O1" s="3593"/>
      <c r="P1" s="359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2" t="s">
        <v>4017</v>
      </c>
      <c r="B3" s="4312"/>
      <c r="C3" s="4312"/>
      <c r="D3" s="4312"/>
      <c r="E3" s="4312"/>
      <c r="F3" s="4312"/>
      <c r="G3" s="4312"/>
      <c r="H3" s="4312"/>
      <c r="I3" s="4312"/>
      <c r="J3" s="4312"/>
      <c r="K3" s="4312"/>
      <c r="L3" s="4312"/>
      <c r="M3" s="767"/>
      <c r="N3" s="73"/>
      <c r="O3" s="83" t="s">
        <v>2117</v>
      </c>
      <c r="P3" s="984" t="s">
        <v>245</v>
      </c>
      <c r="Q3" s="1302"/>
      <c r="R3" s="1302"/>
      <c r="S3" s="1302"/>
    </row>
    <row r="4" spans="1:22" s="44" customFormat="1" ht="12" customHeight="1">
      <c r="A4" s="4312"/>
      <c r="B4" s="4312"/>
      <c r="C4" s="4312"/>
      <c r="D4" s="4312"/>
      <c r="E4" s="4312"/>
      <c r="F4" s="4312"/>
      <c r="G4" s="4312"/>
      <c r="H4" s="4312"/>
      <c r="I4" s="4312"/>
      <c r="J4" s="4312"/>
      <c r="K4" s="4312"/>
      <c r="L4" s="4312"/>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9" t="str">
        <f>'Part I-Project Information'!$B$7</f>
        <v>2021 Core Application</v>
      </c>
      <c r="C6" s="4339"/>
      <c r="D6" s="4339"/>
      <c r="E6" s="4339"/>
      <c r="F6" s="4339"/>
      <c r="G6" s="445"/>
      <c r="H6" s="42"/>
      <c r="I6" s="42"/>
      <c r="J6" s="42"/>
      <c r="L6" s="69" t="s">
        <v>1180</v>
      </c>
      <c r="M6" s="3"/>
      <c r="N6" s="9"/>
      <c r="O6" s="1686">
        <f>O401</f>
        <v>64.5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0" t="s">
        <v>6316</v>
      </c>
      <c r="B8" s="4340"/>
      <c r="C8" s="4340"/>
      <c r="D8" s="3969" t="s">
        <v>6317</v>
      </c>
      <c r="E8" s="3969"/>
      <c r="F8" s="3969"/>
      <c r="G8" s="3969"/>
      <c r="H8" s="3969"/>
      <c r="I8" s="3969"/>
      <c r="J8" s="3969"/>
      <c r="K8" s="3969"/>
      <c r="L8" s="3969"/>
      <c r="M8" s="3969"/>
      <c r="O8" s="2520"/>
      <c r="P8" s="2981"/>
      <c r="Q8" s="36" t="s">
        <v>6353</v>
      </c>
      <c r="R8" s="429"/>
      <c r="S8" s="156"/>
    </row>
    <row r="9" spans="1:22" s="42" customFormat="1" ht="12" customHeight="1">
      <c r="A9" s="4340"/>
      <c r="B9" s="4340"/>
      <c r="C9" s="4340"/>
      <c r="D9" s="3969"/>
      <c r="E9" s="3969"/>
      <c r="F9" s="3969"/>
      <c r="G9" s="3969"/>
      <c r="H9" s="3969"/>
      <c r="I9" s="3969"/>
      <c r="J9" s="3969"/>
      <c r="K9" s="3969"/>
      <c r="L9" s="3969"/>
      <c r="M9" s="3969"/>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4" t="s">
        <v>6352</v>
      </c>
      <c r="C11" s="4245"/>
      <c r="D11" s="4245"/>
      <c r="E11" s="4245"/>
      <c r="F11" s="4245"/>
      <c r="G11" s="4245"/>
      <c r="H11" s="4245"/>
      <c r="I11" s="4245"/>
      <c r="J11" s="4245"/>
      <c r="K11" s="4245"/>
      <c r="L11" s="4245"/>
      <c r="M11" s="4245"/>
      <c r="N11" s="4245"/>
      <c r="O11" s="4245"/>
      <c r="P11" s="4246"/>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4007</v>
      </c>
      <c r="I14" s="66"/>
      <c r="J14" s="66"/>
      <c r="K14" s="66"/>
      <c r="L14" s="66"/>
      <c r="M14" s="1265" t="s">
        <v>4006</v>
      </c>
      <c r="N14" s="66"/>
      <c r="O14" s="2520"/>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3545</v>
      </c>
      <c r="B16" s="1286" t="s">
        <v>3546</v>
      </c>
      <c r="C16" s="1005"/>
      <c r="D16" s="1005"/>
      <c r="E16" s="840" t="s">
        <v>3553</v>
      </c>
      <c r="F16" s="4336" t="s">
        <v>6825</v>
      </c>
      <c r="G16" s="4336"/>
      <c r="H16" s="4336"/>
      <c r="I16" s="4336"/>
      <c r="J16" s="4336"/>
      <c r="K16" s="4336"/>
      <c r="L16" s="4336"/>
      <c r="M16" s="4336"/>
      <c r="N16" s="4336"/>
      <c r="O16" s="1287" t="s">
        <v>3974</v>
      </c>
      <c r="P16" s="1288">
        <f>SUM(P17:P29)</f>
        <v>0</v>
      </c>
      <c r="Q16" s="4385" t="s">
        <v>4068</v>
      </c>
      <c r="R16" s="4385"/>
      <c r="S16" s="4385"/>
      <c r="T16" s="4385"/>
      <c r="U16" s="4385"/>
      <c r="V16" s="4385"/>
    </row>
    <row r="17" spans="1:33" s="42" customFormat="1" ht="10.5" customHeight="1">
      <c r="A17" s="993" t="s">
        <v>1713</v>
      </c>
      <c r="B17" s="990" t="s">
        <v>3547</v>
      </c>
      <c r="C17" s="991"/>
      <c r="D17" s="992"/>
      <c r="E17" s="1281">
        <f>$O$98</f>
        <v>20</v>
      </c>
      <c r="F17" s="4337" t="str">
        <f>$A$104</f>
        <v>The project recieves the full 20 points for desirables. Within two miles there is a elementary school, public park over 25,000 sq ft, grocery store, medical provider, public library, US post office, banks, restaurants and many other retail and commercial services. There are no undesirables and the project location does not fall within an USDA food desert. Please see Tab 27 for the Desirable Activities documentation.</v>
      </c>
      <c r="G17" s="4338"/>
      <c r="H17" s="4338"/>
      <c r="I17" s="4338"/>
      <c r="J17" s="4338"/>
      <c r="K17" s="4338"/>
      <c r="L17" s="4338"/>
      <c r="M17" s="4338"/>
      <c r="N17" s="4338"/>
      <c r="O17" s="4338"/>
      <c r="P17" s="2982"/>
      <c r="Q17" s="4385"/>
      <c r="R17" s="4385"/>
      <c r="S17" s="4385"/>
      <c r="T17" s="4385"/>
      <c r="U17" s="4385"/>
      <c r="V17" s="4385"/>
    </row>
    <row r="18" spans="1:33" s="42" customFormat="1" ht="10.5" customHeight="1">
      <c r="A18" s="993" t="s">
        <v>505</v>
      </c>
      <c r="B18" s="841" t="s">
        <v>4242</v>
      </c>
      <c r="C18" s="942"/>
      <c r="D18" s="994"/>
      <c r="E18" s="1282">
        <f>$O$108</f>
        <v>2</v>
      </c>
      <c r="F18" s="4270" t="str">
        <f>$A$142</f>
        <v>Peach County Transit offers on call transportation available to all residents at the proposed development. The service is available 5 days a week at a reasonable cost. Please see Tab 28 of the application for support documentation.</v>
      </c>
      <c r="G18" s="4271"/>
      <c r="H18" s="4271"/>
      <c r="I18" s="4271"/>
      <c r="J18" s="4271"/>
      <c r="K18" s="4271"/>
      <c r="L18" s="4271"/>
      <c r="M18" s="4271"/>
      <c r="N18" s="4271"/>
      <c r="O18" s="4272"/>
      <c r="P18" s="2983"/>
      <c r="Q18" s="4365" t="str">
        <f>IF(OR($A$104="",$A$142="",$A$159="",$A$180="",$A$195="",$A$215="",$A$233="",$A$243="",$A$252="",$A$290="",$A$326="",$A$346="",$A$375=""),"Some Applicant Scoring Justification boxes are empty! Check to see if points claimed.","")</f>
        <v/>
      </c>
      <c r="R18" s="4366"/>
      <c r="S18" s="4366"/>
    </row>
    <row r="19" spans="1:33" s="42" customFormat="1" ht="10.5" customHeight="1">
      <c r="A19" s="993" t="s">
        <v>742</v>
      </c>
      <c r="B19" s="841" t="s">
        <v>3486</v>
      </c>
      <c r="C19" s="942"/>
      <c r="D19" s="994"/>
      <c r="E19" s="1282">
        <f>$O$147</f>
        <v>1.5</v>
      </c>
      <c r="F19" s="4270" t="str">
        <f>$A$159</f>
        <v>The projects location is within the attendance zone of Byron Elementary, Byron Middle and Peach County High School. Byron Middle School and Peach County High School received Beating the Odds Designation for 2018 and 2019. Additionally, the two year CCRPI scores for Byron Middle School are above the minimum average per the QAP and the middle school serves three grade levels. Please see Tab 29 for Quality Education documentation.</v>
      </c>
      <c r="G19" s="4271"/>
      <c r="H19" s="4271"/>
      <c r="I19" s="4271"/>
      <c r="J19" s="4271"/>
      <c r="K19" s="4271"/>
      <c r="L19" s="4271"/>
      <c r="M19" s="4271"/>
      <c r="N19" s="4271"/>
      <c r="O19" s="4272"/>
      <c r="P19" s="2983"/>
      <c r="Q19" s="4365"/>
      <c r="R19" s="4366"/>
      <c r="S19" s="4366"/>
    </row>
    <row r="20" spans="1:33" s="42" customFormat="1" ht="10.5" customHeight="1">
      <c r="A20" s="1685" t="s">
        <v>281</v>
      </c>
      <c r="B20" s="841" t="s">
        <v>3548</v>
      </c>
      <c r="C20" s="942"/>
      <c r="D20" s="994"/>
      <c r="E20" s="1283">
        <f>$O$163</f>
        <v>0</v>
      </c>
      <c r="F20" s="4270" t="str">
        <f>$A$180</f>
        <v>N/A</v>
      </c>
      <c r="G20" s="4271"/>
      <c r="H20" s="4271"/>
      <c r="I20" s="4271"/>
      <c r="J20" s="4271"/>
      <c r="K20" s="4271"/>
      <c r="L20" s="4271"/>
      <c r="M20" s="4271"/>
      <c r="N20" s="4271"/>
      <c r="O20" s="4272"/>
      <c r="P20" s="2983"/>
      <c r="Q20" s="4365"/>
      <c r="R20" s="4366"/>
      <c r="S20" s="4366"/>
    </row>
    <row r="21" spans="1:33" s="42" customFormat="1" ht="10.5" customHeight="1">
      <c r="A21" s="993" t="s">
        <v>407</v>
      </c>
      <c r="B21" s="1000" t="s">
        <v>3549</v>
      </c>
      <c r="C21" s="1001"/>
      <c r="D21" s="1002"/>
      <c r="E21" s="1284" t="s">
        <v>1654</v>
      </c>
      <c r="F21" s="4344" t="str">
        <f>$A$195</f>
        <v>N/A</v>
      </c>
      <c r="G21" s="4345"/>
      <c r="H21" s="4345"/>
      <c r="I21" s="4345"/>
      <c r="J21" s="4345"/>
      <c r="K21" s="4345"/>
      <c r="L21" s="4345"/>
      <c r="M21" s="4345"/>
      <c r="N21" s="4345"/>
      <c r="O21" s="4346"/>
      <c r="P21" s="2983"/>
      <c r="Q21" s="4365"/>
      <c r="R21" s="4366"/>
      <c r="S21" s="4366"/>
    </row>
    <row r="22" spans="1:33" s="42" customFormat="1" ht="10.5" customHeight="1">
      <c r="A22" s="993" t="s">
        <v>346</v>
      </c>
      <c r="B22" s="841" t="s">
        <v>4243</v>
      </c>
      <c r="C22" s="942"/>
      <c r="D22" s="994"/>
      <c r="E22" s="1282">
        <f>$O$199</f>
        <v>7</v>
      </c>
      <c r="F22" s="4270" t="str">
        <f>$A$215</f>
        <v xml:space="preserve">The project is located in census tract 13225040102. The percentage below the poverty line accourding to US Census FFIEC data is 12.26%. The location is a USDA rual eligible location and is therefore eligible for 4 points under Low-poverty communites scoring section. Additionally, the census tract has Health Insurance Coverage Rate and Life Expectancy rates above the 60th percentile thresholds and Median Income for 2019 is above the 60th percentile threshold. The property is eligible for seven points in this scoring section. </v>
      </c>
      <c r="G22" s="4271"/>
      <c r="H22" s="4271"/>
      <c r="I22" s="4271"/>
      <c r="J22" s="4271"/>
      <c r="K22" s="4271"/>
      <c r="L22" s="4271"/>
      <c r="M22" s="4271"/>
      <c r="N22" s="4271"/>
      <c r="O22" s="4272"/>
      <c r="P22" s="2983"/>
      <c r="Q22" s="4365"/>
      <c r="R22" s="4366"/>
      <c r="S22" s="4366"/>
    </row>
    <row r="23" spans="1:33" s="42" customFormat="1" ht="10.5" customHeight="1">
      <c r="A23" s="993" t="s">
        <v>4245</v>
      </c>
      <c r="B23" s="841" t="s">
        <v>3396</v>
      </c>
      <c r="C23" s="942"/>
      <c r="D23" s="994"/>
      <c r="E23" s="1282">
        <f>$O$228</f>
        <v>0</v>
      </c>
      <c r="F23" s="4270" t="str">
        <f>$A$233</f>
        <v>N/A</v>
      </c>
      <c r="G23" s="4271"/>
      <c r="H23" s="4271"/>
      <c r="I23" s="4271"/>
      <c r="J23" s="4271"/>
      <c r="K23" s="4271"/>
      <c r="L23" s="4271"/>
      <c r="M23" s="4271"/>
      <c r="N23" s="4271"/>
      <c r="O23" s="4272"/>
      <c r="P23" s="2983"/>
      <c r="Q23" s="4365"/>
      <c r="R23" s="4366"/>
      <c r="S23" s="4366"/>
    </row>
    <row r="24" spans="1:33" s="42" customFormat="1" ht="10.5" customHeight="1">
      <c r="A24" s="993" t="s">
        <v>4257</v>
      </c>
      <c r="B24" s="841" t="s">
        <v>4246</v>
      </c>
      <c r="C24" s="942"/>
      <c r="D24" s="994"/>
      <c r="E24" s="1284">
        <f>$O$237</f>
        <v>0</v>
      </c>
      <c r="F24" s="4270" t="str">
        <f>$A$243</f>
        <v>N/A</v>
      </c>
      <c r="G24" s="4271"/>
      <c r="H24" s="4271"/>
      <c r="I24" s="4271"/>
      <c r="J24" s="4271"/>
      <c r="K24" s="4271"/>
      <c r="L24" s="4271"/>
      <c r="M24" s="4271"/>
      <c r="N24" s="4271"/>
      <c r="O24" s="4272"/>
      <c r="P24" s="2983"/>
      <c r="Q24" s="4365"/>
      <c r="R24" s="4366"/>
      <c r="S24" s="4366"/>
    </row>
    <row r="25" spans="1:33" s="42" customFormat="1" ht="10.5" customHeight="1">
      <c r="A25" s="1685" t="s">
        <v>6531</v>
      </c>
      <c r="B25" s="841" t="s">
        <v>4247</v>
      </c>
      <c r="C25" s="942"/>
      <c r="D25" s="994"/>
      <c r="E25" s="1282">
        <f>$O$247</f>
        <v>4</v>
      </c>
      <c r="F25" s="4398" t="str">
        <f>$A$252</f>
        <v>There has been only one award within the City limits of Byron in the last 15 years which was prior to January 1, 2015, therefore the project is eligible for 4 points.</v>
      </c>
      <c r="G25" s="4399"/>
      <c r="H25" s="4399"/>
      <c r="I25" s="4399"/>
      <c r="J25" s="4399"/>
      <c r="K25" s="4399"/>
      <c r="L25" s="4399"/>
      <c r="M25" s="4399"/>
      <c r="N25" s="4399"/>
      <c r="O25" s="4400"/>
      <c r="P25" s="2983"/>
      <c r="Q25" s="4365"/>
      <c r="R25" s="4366"/>
      <c r="S25" s="4366"/>
    </row>
    <row r="26" spans="1:33" s="42" customFormat="1" ht="10.5" customHeight="1">
      <c r="A26" s="999" t="s">
        <v>3522</v>
      </c>
      <c r="B26" s="1000" t="s">
        <v>3550</v>
      </c>
      <c r="C26" s="1001"/>
      <c r="D26" s="1002"/>
      <c r="E26" s="1285">
        <f>$O$286</f>
        <v>2</v>
      </c>
      <c r="F26" s="4270" t="str">
        <f>$A$290</f>
        <v>Please see Tab 38 for evidence of the Byron GICH support letter executed by the primary contact on record as well as the local government agreement letter executed by the Mayor.</v>
      </c>
      <c r="G26" s="4271"/>
      <c r="H26" s="4271"/>
      <c r="I26" s="4271"/>
      <c r="J26" s="4271"/>
      <c r="K26" s="4271"/>
      <c r="L26" s="4271"/>
      <c r="M26" s="4271"/>
      <c r="N26" s="4271"/>
      <c r="O26" s="4272"/>
      <c r="P26" s="2983"/>
      <c r="Q26" s="4365"/>
      <c r="R26" s="4366"/>
      <c r="S26" s="4366"/>
    </row>
    <row r="27" spans="1:33" s="42" customFormat="1" ht="10.5" customHeight="1">
      <c r="A27" s="993" t="s">
        <v>3520</v>
      </c>
      <c r="B27" s="841" t="s">
        <v>3551</v>
      </c>
      <c r="C27" s="942"/>
      <c r="D27" s="994"/>
      <c r="E27" s="1282">
        <f>$O$294</f>
        <v>1</v>
      </c>
      <c r="F27" s="4270" t="str">
        <f>$A$326</f>
        <v>Please see Tab 39 for the commitment letter for the construction- perm loan of $480,000 with a minimum term of 10 years and interest rate at or below long term monthly AFR effective May 1, 2021. The loan amount is for $10,000 per unit and is eligible for one favorable financing point. United Bank is a certified Community Development Financial Institution, and the proposed loan is offered as a result of the Bank's 2020 Capital Magnet Fund award from the CDFI Fund division of the United States Treasury Department.</v>
      </c>
      <c r="G27" s="4271"/>
      <c r="H27" s="4271"/>
      <c r="I27" s="4271"/>
      <c r="J27" s="4271"/>
      <c r="K27" s="4271"/>
      <c r="L27" s="4271"/>
      <c r="M27" s="4271"/>
      <c r="N27" s="4271"/>
      <c r="O27" s="4272"/>
      <c r="P27" s="2983"/>
      <c r="Q27" s="4365"/>
      <c r="R27" s="4366"/>
      <c r="S27" s="4366"/>
    </row>
    <row r="28" spans="1:33" s="42" customFormat="1" ht="10.5" customHeight="1">
      <c r="A28" s="993" t="s">
        <v>3520</v>
      </c>
      <c r="B28" s="841" t="s">
        <v>3552</v>
      </c>
      <c r="C28" s="942"/>
      <c r="D28" s="994"/>
      <c r="E28" s="1284">
        <f>$O$330</f>
        <v>0</v>
      </c>
      <c r="F28" s="4270" t="str">
        <f>$A$346</f>
        <v>N/A</v>
      </c>
      <c r="G28" s="4271"/>
      <c r="H28" s="4271"/>
      <c r="I28" s="4271"/>
      <c r="J28" s="4271"/>
      <c r="K28" s="4271"/>
      <c r="L28" s="4271"/>
      <c r="M28" s="4271"/>
      <c r="N28" s="4271"/>
      <c r="O28" s="4272"/>
      <c r="P28" s="2983"/>
      <c r="Q28" s="4365"/>
      <c r="R28" s="4366"/>
      <c r="S28" s="4366"/>
    </row>
    <row r="29" spans="1:33" s="42" customFormat="1" ht="10.5" customHeight="1">
      <c r="A29" s="995" t="s">
        <v>3527</v>
      </c>
      <c r="B29" s="996" t="s">
        <v>6362</v>
      </c>
      <c r="C29" s="997"/>
      <c r="D29" s="998"/>
      <c r="E29" s="1709">
        <f>$O$358</f>
        <v>0</v>
      </c>
      <c r="F29" s="4333" t="str">
        <f>$A$375</f>
        <v>N/A</v>
      </c>
      <c r="G29" s="4334"/>
      <c r="H29" s="4334"/>
      <c r="I29" s="4334"/>
      <c r="J29" s="4334"/>
      <c r="K29" s="4334"/>
      <c r="L29" s="4334"/>
      <c r="M29" s="4334"/>
      <c r="N29" s="4334"/>
      <c r="O29" s="4335"/>
      <c r="P29" s="2984"/>
      <c r="Q29" s="4365"/>
      <c r="R29" s="4366"/>
      <c r="S29" s="4366"/>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343" t="s">
        <v>6354</v>
      </c>
      <c r="H31" s="4343"/>
      <c r="I31" s="4343" t="s">
        <v>932</v>
      </c>
      <c r="J31" s="4343"/>
      <c r="K31" s="2669" t="s">
        <v>6355</v>
      </c>
      <c r="L31" s="1613"/>
      <c r="M31" s="4367" t="s">
        <v>6371</v>
      </c>
      <c r="N31" s="4367"/>
      <c r="O31" s="4367"/>
      <c r="P31" s="4367"/>
      <c r="Q31" s="1618"/>
      <c r="R31" s="1618"/>
      <c r="S31" s="2521" t="s">
        <v>6370</v>
      </c>
      <c r="T31" s="1618"/>
      <c r="U31" s="1618"/>
      <c r="V31" s="1618"/>
      <c r="X31" s="4417" t="s">
        <v>6354</v>
      </c>
      <c r="Y31" s="4418"/>
      <c r="Z31" s="4417" t="s">
        <v>932</v>
      </c>
      <c r="AA31" s="4418"/>
      <c r="AB31" s="2522" t="s">
        <v>6355</v>
      </c>
      <c r="AC31" s="4419" t="s">
        <v>6354</v>
      </c>
      <c r="AD31" s="4420"/>
      <c r="AE31" s="4419" t="s">
        <v>932</v>
      </c>
      <c r="AF31" s="4420"/>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273" t="str">
        <f>'Part I-Project Information'!F12</f>
        <v>9% Credit Competitive Round only</v>
      </c>
      <c r="N32" s="4274"/>
      <c r="O32" s="4274"/>
      <c r="P32" s="4275"/>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368" t="s">
        <v>6376</v>
      </c>
      <c r="N34" s="4368"/>
      <c r="O34" s="4368"/>
      <c r="P34" s="4368"/>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3547</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No</v>
      </c>
      <c r="Q35" s="1613"/>
      <c r="R35" s="1615" t="s">
        <v>1713</v>
      </c>
      <c r="S35" s="2536" t="s">
        <v>3547</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3486</v>
      </c>
      <c r="C37" s="1792"/>
      <c r="D37" s="1793"/>
      <c r="E37" s="1793"/>
      <c r="F37" s="1793"/>
      <c r="G37" s="2537">
        <v>3</v>
      </c>
      <c r="H37" s="2538">
        <v>2</v>
      </c>
      <c r="I37" s="2537"/>
      <c r="J37" s="2538"/>
      <c r="K37" s="2539"/>
      <c r="L37" s="1613"/>
      <c r="M37" s="1698" t="s">
        <v>6381</v>
      </c>
      <c r="N37" s="1699"/>
      <c r="O37" s="1700"/>
      <c r="P37" s="1802" t="str">
        <f>IF('Part I-Project Information'!$P$100="","",'Part I-Project Information'!$P$100)</f>
        <v>No</v>
      </c>
      <c r="Q37" s="1613"/>
      <c r="R37" s="1615" t="s">
        <v>742</v>
      </c>
      <c r="S37" s="2536" t="s">
        <v>3486</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3548</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3548</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3549</v>
      </c>
      <c r="C39" s="1792"/>
      <c r="D39" s="1793"/>
      <c r="E39" s="1793"/>
      <c r="F39" s="1793"/>
      <c r="G39" s="2537">
        <v>3</v>
      </c>
      <c r="H39" s="2538"/>
      <c r="I39" s="2537"/>
      <c r="J39" s="2538"/>
      <c r="K39" s="2539"/>
      <c r="L39" s="1613"/>
      <c r="M39" s="279" t="s">
        <v>6536</v>
      </c>
      <c r="P39" s="531" t="str">
        <f>'Part III-Sources of Funds'!$L$14</f>
        <v>No</v>
      </c>
      <c r="Q39" s="1613"/>
      <c r="R39" s="1615" t="s">
        <v>407</v>
      </c>
      <c r="S39" s="2536" t="s">
        <v>3549</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75" t="s">
        <v>6537</v>
      </c>
      <c r="N40" s="4375"/>
      <c r="O40" s="481"/>
      <c r="P40" s="1804" t="str">
        <f>IF('Part I-Project Information'!$P$101="","",'Part I-Project Information'!$P$101)</f>
        <v>No</v>
      </c>
      <c r="Q40" s="1613"/>
      <c r="R40" s="1615" t="s">
        <v>346</v>
      </c>
      <c r="S40" s="2536" t="s">
        <v>4243</v>
      </c>
      <c r="T40" s="1794"/>
      <c r="U40" s="1795"/>
      <c r="V40" s="1795"/>
      <c r="W40" s="1795"/>
      <c r="X40" s="2540">
        <f>O199</f>
        <v>7</v>
      </c>
      <c r="Y40" s="2541">
        <f>O199</f>
        <v>7</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369" t="str">
        <f>IF($P$45&gt;$P$46,"New Supply",IF($P$45&lt;$P$46,"Rehabilitation",IF(AND($P$45&gt;0,$P$45=$P$46),"Tie","")))</f>
        <v>New Supply</v>
      </c>
      <c r="N43" s="4370"/>
      <c r="O43" s="4370"/>
      <c r="P43" s="4371"/>
      <c r="Q43" s="1613"/>
      <c r="R43" s="1615" t="s">
        <v>1648</v>
      </c>
      <c r="S43" s="2536" t="s">
        <v>6359</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3521</v>
      </c>
      <c r="B44" s="2536" t="s">
        <v>4247</v>
      </c>
      <c r="C44" s="1794"/>
      <c r="D44" s="1795"/>
      <c r="E44" s="1795"/>
      <c r="F44" s="1795"/>
      <c r="G44" s="2537">
        <v>5</v>
      </c>
      <c r="H44" s="2538"/>
      <c r="I44" s="2537"/>
      <c r="J44" s="2538"/>
      <c r="K44" s="2539"/>
      <c r="L44" s="1613"/>
      <c r="P44" s="1615" t="s">
        <v>3380</v>
      </c>
      <c r="Q44" s="1613"/>
      <c r="R44" s="1615" t="s">
        <v>3521</v>
      </c>
      <c r="S44" s="2536" t="s">
        <v>4247</v>
      </c>
      <c r="T44" s="1794"/>
      <c r="U44" s="1795"/>
      <c r="V44" s="1795"/>
      <c r="W44" s="1795"/>
      <c r="X44" s="2540">
        <f>O247</f>
        <v>4</v>
      </c>
      <c r="Y44" s="2538"/>
      <c r="Z44" s="2537"/>
      <c r="AA44" s="2538"/>
      <c r="AB44" s="2542"/>
      <c r="AC44" s="2543">
        <f>P247</f>
        <v>0</v>
      </c>
      <c r="AD44" s="2538"/>
      <c r="AE44" s="2537"/>
      <c r="AF44" s="2538"/>
      <c r="AG44" s="2539"/>
    </row>
    <row r="45" spans="1:33" s="157" customFormat="1" ht="10.5" customHeight="1">
      <c r="A45" s="1615" t="s">
        <v>2149</v>
      </c>
      <c r="B45" s="2536" t="s">
        <v>3968</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48</v>
      </c>
      <c r="R45" s="1615" t="s">
        <v>2149</v>
      </c>
      <c r="S45" s="2536" t="s">
        <v>3968</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3521</v>
      </c>
      <c r="B46" s="2536" t="s">
        <v>6360</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3521</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3522</v>
      </c>
      <c r="B47" s="2536" t="s">
        <v>3550</v>
      </c>
      <c r="C47" s="1794"/>
      <c r="D47" s="1795"/>
      <c r="E47" s="1795"/>
      <c r="F47" s="1795"/>
      <c r="G47" s="2537">
        <v>2</v>
      </c>
      <c r="H47" s="2538"/>
      <c r="I47" s="2537">
        <v>2</v>
      </c>
      <c r="J47" s="2538"/>
      <c r="K47" s="2539">
        <v>2</v>
      </c>
      <c r="L47" s="1613"/>
      <c r="M47" s="4341" t="s">
        <v>6824</v>
      </c>
      <c r="N47" s="4341"/>
      <c r="O47" s="4341"/>
      <c r="P47" s="4341"/>
      <c r="Q47" s="489"/>
      <c r="R47" s="1615" t="s">
        <v>3522</v>
      </c>
      <c r="S47" s="2536" t="s">
        <v>3550</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3520</v>
      </c>
      <c r="B48" s="2536" t="s">
        <v>3551</v>
      </c>
      <c r="C48" s="1794"/>
      <c r="D48" s="1795"/>
      <c r="E48" s="1795"/>
      <c r="F48" s="1795"/>
      <c r="G48" s="2537">
        <v>4</v>
      </c>
      <c r="H48" s="2538">
        <v>4</v>
      </c>
      <c r="I48" s="2537">
        <v>4</v>
      </c>
      <c r="J48" s="2538">
        <v>4</v>
      </c>
      <c r="K48" s="2539">
        <v>4</v>
      </c>
      <c r="L48" s="1613"/>
      <c r="M48" s="4341"/>
      <c r="N48" s="4341"/>
      <c r="O48" s="4341"/>
      <c r="P48" s="4341"/>
      <c r="R48" s="1615" t="s">
        <v>3520</v>
      </c>
      <c r="S48" s="2536" t="s">
        <v>3551</v>
      </c>
      <c r="T48" s="1794"/>
      <c r="U48" s="1795"/>
      <c r="V48" s="1795"/>
      <c r="W48" s="1795"/>
      <c r="X48" s="2540">
        <f>O294</f>
        <v>1</v>
      </c>
      <c r="Y48" s="2541">
        <f>O294</f>
        <v>1</v>
      </c>
      <c r="Z48" s="2540">
        <f>O294</f>
        <v>1</v>
      </c>
      <c r="AA48" s="2541">
        <f>O294</f>
        <v>1</v>
      </c>
      <c r="AB48" s="2551">
        <f>O294</f>
        <v>1</v>
      </c>
      <c r="AC48" s="2543">
        <f>P294</f>
        <v>0</v>
      </c>
      <c r="AD48" s="2541">
        <f>P294</f>
        <v>0</v>
      </c>
      <c r="AE48" s="2540">
        <f>P294</f>
        <v>0</v>
      </c>
      <c r="AF48" s="2541">
        <f>P294</f>
        <v>0</v>
      </c>
      <c r="AG48" s="2552">
        <f>P294</f>
        <v>0</v>
      </c>
    </row>
    <row r="49" spans="1:33" s="157" customFormat="1" ht="10.5" customHeight="1">
      <c r="A49" s="1615" t="s">
        <v>3523</v>
      </c>
      <c r="B49" s="2536" t="s">
        <v>3552</v>
      </c>
      <c r="C49" s="1794"/>
      <c r="D49" s="1795"/>
      <c r="E49" s="1795"/>
      <c r="F49" s="1795"/>
      <c r="G49" s="2537">
        <v>2</v>
      </c>
      <c r="H49" s="2538"/>
      <c r="I49" s="2537"/>
      <c r="J49" s="2538"/>
      <c r="K49" s="2539"/>
      <c r="L49" s="1613"/>
      <c r="M49" s="4341"/>
      <c r="N49" s="4341"/>
      <c r="O49" s="4341"/>
      <c r="P49" s="4341"/>
      <c r="R49" s="1615" t="s">
        <v>3523</v>
      </c>
      <c r="S49" s="2536" t="s">
        <v>3552</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3524</v>
      </c>
      <c r="B50" s="2536" t="s">
        <v>6361</v>
      </c>
      <c r="C50" s="1794"/>
      <c r="D50" s="1795"/>
      <c r="E50" s="1795"/>
      <c r="F50" s="1795"/>
      <c r="G50" s="2537">
        <v>10</v>
      </c>
      <c r="H50" s="2538">
        <v>10</v>
      </c>
      <c r="I50" s="2537">
        <v>10</v>
      </c>
      <c r="J50" s="2538">
        <v>10</v>
      </c>
      <c r="K50" s="2539">
        <v>10</v>
      </c>
      <c r="L50" s="1613"/>
      <c r="M50" s="4341"/>
      <c r="N50" s="4341"/>
      <c r="O50" s="4341"/>
      <c r="P50" s="4341"/>
      <c r="R50" s="1615" t="s">
        <v>3524</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3527</v>
      </c>
      <c r="B51" s="2536" t="s">
        <v>6362</v>
      </c>
      <c r="C51" s="1794"/>
      <c r="D51" s="1795"/>
      <c r="E51" s="1795"/>
      <c r="F51" s="1795"/>
      <c r="G51" s="2537">
        <v>2</v>
      </c>
      <c r="H51" s="2538"/>
      <c r="I51" s="2537">
        <v>2</v>
      </c>
      <c r="J51" s="2538"/>
      <c r="K51" s="2539"/>
      <c r="L51" s="1613"/>
      <c r="M51" s="4341"/>
      <c r="N51" s="4341"/>
      <c r="O51" s="4341"/>
      <c r="P51" s="4341"/>
      <c r="R51" s="1615" t="s">
        <v>3527</v>
      </c>
      <c r="S51" s="2536" t="s">
        <v>6362</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3528</v>
      </c>
      <c r="B52" s="2536" t="s">
        <v>6363</v>
      </c>
      <c r="C52" s="1794"/>
      <c r="D52" s="1795"/>
      <c r="E52" s="1795"/>
      <c r="F52" s="1795"/>
      <c r="G52" s="2537"/>
      <c r="H52" s="2538"/>
      <c r="I52" s="2537">
        <v>6</v>
      </c>
      <c r="J52" s="2538">
        <v>6</v>
      </c>
      <c r="K52" s="2539">
        <v>6</v>
      </c>
      <c r="L52" s="1613"/>
      <c r="M52" s="4342"/>
      <c r="N52" s="4342"/>
      <c r="O52" s="4342"/>
      <c r="P52" s="4342"/>
      <c r="R52" s="1615" t="s">
        <v>3528</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3529</v>
      </c>
      <c r="B53" s="2536" t="s">
        <v>6364</v>
      </c>
      <c r="C53" s="1794"/>
      <c r="D53" s="1795"/>
      <c r="E53" s="1795"/>
      <c r="F53" s="1795"/>
      <c r="G53" s="2537"/>
      <c r="H53" s="2538"/>
      <c r="I53" s="2537">
        <v>6</v>
      </c>
      <c r="J53" s="2538"/>
      <c r="K53" s="2539"/>
      <c r="L53" s="1613"/>
      <c r="M53" s="4276" t="s">
        <v>6354</v>
      </c>
      <c r="N53" s="4277"/>
      <c r="O53" s="4277"/>
      <c r="P53" s="4278"/>
      <c r="Q53" s="1613"/>
      <c r="R53" s="1615" t="s">
        <v>3529</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3530</v>
      </c>
      <c r="B54" s="2536" t="s">
        <v>6365</v>
      </c>
      <c r="C54" s="1794"/>
      <c r="D54" s="1795"/>
      <c r="E54" s="1795"/>
      <c r="F54" s="1795"/>
      <c r="G54" s="2537"/>
      <c r="H54" s="2538"/>
      <c r="I54" s="2537"/>
      <c r="J54" s="2538">
        <v>4</v>
      </c>
      <c r="K54" s="2539"/>
      <c r="L54" s="1613"/>
      <c r="Q54" s="1613"/>
      <c r="R54" s="1615" t="s">
        <v>3530</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3531</v>
      </c>
      <c r="B55" s="2536" t="s">
        <v>6366</v>
      </c>
      <c r="C55" s="1794"/>
      <c r="D55" s="1795"/>
      <c r="E55" s="1795"/>
      <c r="F55" s="1795"/>
      <c r="G55" s="2537"/>
      <c r="H55" s="2538"/>
      <c r="I55" s="2537">
        <v>2</v>
      </c>
      <c r="J55" s="2538"/>
      <c r="K55" s="2539">
        <v>2</v>
      </c>
      <c r="L55" s="1613"/>
      <c r="M55" s="4368" t="s">
        <v>6373</v>
      </c>
      <c r="N55" s="4368"/>
      <c r="O55" s="4368"/>
      <c r="P55" s="4368"/>
      <c r="Q55" s="1613"/>
      <c r="R55" s="1615" t="s">
        <v>3531</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3532</v>
      </c>
      <c r="B56" s="2554" t="s">
        <v>6367</v>
      </c>
      <c r="C56" s="1796"/>
      <c r="D56" s="1797"/>
      <c r="E56" s="1797"/>
      <c r="F56" s="1797"/>
      <c r="G56" s="2555"/>
      <c r="H56" s="2556">
        <v>16</v>
      </c>
      <c r="I56" s="2555"/>
      <c r="J56" s="2556">
        <v>16</v>
      </c>
      <c r="K56" s="2557"/>
      <c r="L56" s="1613"/>
      <c r="M56" s="4347" t="str">
        <f>'Part I-Project Information'!$H$105</f>
        <v>Rural</v>
      </c>
      <c r="N56" s="4348"/>
      <c r="O56" s="4348"/>
      <c r="P56" s="4349"/>
      <c r="Q56" s="1613"/>
      <c r="R56" s="1615" t="s">
        <v>3532</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SUM(H33:H56)</f>
        <v>70</v>
      </c>
      <c r="I58" s="1720">
        <f>SUM(I33:I56)</f>
        <v>51</v>
      </c>
      <c r="J58" s="1720">
        <f>SUM(J33:J56)</f>
        <v>47</v>
      </c>
      <c r="K58" s="1720">
        <f>SUM(K33:K56)</f>
        <v>38</v>
      </c>
      <c r="L58" s="42"/>
      <c r="M58" s="46"/>
      <c r="N58" s="62"/>
      <c r="O58" s="3"/>
      <c r="P58" s="777"/>
      <c r="R58" s="522"/>
      <c r="S58" s="522"/>
      <c r="T58" s="2561"/>
      <c r="U58" s="2561"/>
      <c r="V58" s="2561"/>
      <c r="W58" s="2561"/>
      <c r="X58" s="2562">
        <f>SUM(X33:X56)</f>
        <v>64.5</v>
      </c>
      <c r="Y58" s="2562">
        <f t="shared" ref="Y58:AB58" si="0">SUM(Y33:Y56)</f>
        <v>47.5</v>
      </c>
      <c r="Z58" s="2562">
        <f t="shared" si="0"/>
        <v>29</v>
      </c>
      <c r="AA58" s="2562">
        <f t="shared" si="0"/>
        <v>17</v>
      </c>
      <c r="AB58" s="2562">
        <f t="shared" si="0"/>
        <v>27</v>
      </c>
      <c r="AC58" s="2562">
        <f>SUM(AC33:AC56)</f>
        <v>20</v>
      </c>
      <c r="AD58" s="2562">
        <f t="shared" ref="AD58:AG58" si="1">SUM(AD33:AD56)</f>
        <v>10</v>
      </c>
      <c r="AE58" s="2562">
        <f t="shared" si="1"/>
        <v>20</v>
      </c>
      <c r="AF58" s="2562">
        <f t="shared" si="1"/>
        <v>10</v>
      </c>
      <c r="AG58" s="2562">
        <f t="shared" si="1"/>
        <v>20</v>
      </c>
    </row>
    <row r="59" spans="1:33" s="42" customFormat="1" ht="13.5" customHeight="1" thickBot="1">
      <c r="A59" s="151" t="s">
        <v>712</v>
      </c>
      <c r="B59" s="105" t="s">
        <v>2606</v>
      </c>
      <c r="C59" s="4"/>
      <c r="D59" s="4"/>
      <c r="E59" s="4"/>
      <c r="F59" s="52"/>
      <c r="G59" s="52"/>
      <c r="H59" s="170" t="s">
        <v>4005</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3969</v>
      </c>
      <c r="D61" s="48"/>
      <c r="E61" s="48"/>
      <c r="F61" s="1673"/>
      <c r="N61" s="64" t="s">
        <v>1893</v>
      </c>
      <c r="P61" s="1680">
        <f>SUM(P62:P64)</f>
        <v>0</v>
      </c>
      <c r="Q61" s="36" t="s">
        <v>6529</v>
      </c>
    </row>
    <row r="62" spans="1:33" s="43" customFormat="1" ht="12.75" customHeight="1">
      <c r="A62" s="176"/>
      <c r="B62" s="1681" t="s">
        <v>1896</v>
      </c>
      <c r="C62" s="109" t="s">
        <v>3972</v>
      </c>
      <c r="D62" s="48"/>
      <c r="E62" s="48"/>
      <c r="F62" s="1673"/>
      <c r="H62" s="170" t="s">
        <v>3298</v>
      </c>
      <c r="J62" s="49"/>
      <c r="N62" s="381" t="s">
        <v>1896</v>
      </c>
      <c r="P62" s="976">
        <f>F70</f>
        <v>0</v>
      </c>
    </row>
    <row r="63" spans="1:33" s="43" customFormat="1" ht="12.75" customHeight="1">
      <c r="A63" s="176"/>
      <c r="B63" s="1681" t="s">
        <v>1898</v>
      </c>
      <c r="C63" s="109" t="s">
        <v>6528</v>
      </c>
      <c r="D63" s="48"/>
      <c r="E63" s="48"/>
      <c r="F63" s="1673"/>
      <c r="H63" s="170" t="s">
        <v>3970</v>
      </c>
      <c r="J63" s="49"/>
      <c r="N63" s="381" t="s">
        <v>1898</v>
      </c>
      <c r="P63" s="1261">
        <f>J70</f>
        <v>0</v>
      </c>
    </row>
    <row r="64" spans="1:33" s="43" customFormat="1" ht="12.75" customHeight="1">
      <c r="A64" s="176"/>
      <c r="B64" s="1681" t="s">
        <v>2416</v>
      </c>
      <c r="C64" s="109" t="s">
        <v>3971</v>
      </c>
      <c r="D64" s="48"/>
      <c r="E64" s="48"/>
      <c r="F64" s="1673"/>
      <c r="H64" s="170" t="s">
        <v>3975</v>
      </c>
      <c r="J64" s="49"/>
      <c r="N64" s="381" t="s">
        <v>2416</v>
      </c>
      <c r="P64" s="2985"/>
    </row>
    <row r="65" spans="1:20" s="43" customFormat="1" ht="12.75" customHeight="1">
      <c r="C65" s="4244" t="s">
        <v>4080</v>
      </c>
      <c r="D65" s="4245"/>
      <c r="E65" s="4245"/>
      <c r="F65" s="4245"/>
      <c r="G65" s="4245"/>
      <c r="H65" s="4245"/>
      <c r="I65" s="4245"/>
      <c r="J65" s="4245"/>
      <c r="K65" s="4245"/>
      <c r="L65" s="4245"/>
      <c r="M65" s="4245"/>
      <c r="N65" s="4245"/>
      <c r="O65" s="4245"/>
      <c r="P65" s="4246"/>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78" t="s">
        <v>6283</v>
      </c>
      <c r="B69" s="4078"/>
      <c r="C69" s="4078"/>
      <c r="D69" s="4078"/>
      <c r="E69" s="4078"/>
      <c r="F69" s="1260" t="s">
        <v>3544</v>
      </c>
      <c r="G69" s="4325" t="s">
        <v>6285</v>
      </c>
      <c r="H69" s="4325"/>
      <c r="I69" s="4325"/>
      <c r="J69" s="1260" t="s">
        <v>3544</v>
      </c>
      <c r="K69" s="4329" t="s">
        <v>6284</v>
      </c>
      <c r="L69" s="4329"/>
      <c r="M69" s="4329"/>
      <c r="N69" s="4329"/>
      <c r="O69" s="4323" t="s">
        <v>3544</v>
      </c>
      <c r="P69" s="4324"/>
      <c r="R69" s="429"/>
      <c r="S69" s="156"/>
    </row>
    <row r="70" spans="1:20" s="42" customFormat="1" ht="12.75" customHeight="1">
      <c r="A70" s="4322"/>
      <c r="B70" s="4322"/>
      <c r="C70" s="4322"/>
      <c r="D70" s="4322"/>
      <c r="E70" s="4322"/>
      <c r="F70" s="76">
        <f>SUM(F71:F82)</f>
        <v>0</v>
      </c>
      <c r="G70" s="4326"/>
      <c r="H70" s="4327"/>
      <c r="I70" s="4328"/>
      <c r="J70" s="76">
        <f>SUM(J71:J82)</f>
        <v>0</v>
      </c>
      <c r="K70" s="4330"/>
      <c r="L70" s="4331"/>
      <c r="M70" s="4331"/>
      <c r="N70" s="4332"/>
      <c r="O70" s="4313">
        <f>SUM(O71:O82)</f>
        <v>0</v>
      </c>
      <c r="P70" s="4314"/>
      <c r="Q70" s="429"/>
      <c r="R70" s="156"/>
    </row>
    <row r="71" spans="1:20" s="42" customFormat="1" ht="24.75" customHeight="1">
      <c r="A71" s="4315">
        <v>1</v>
      </c>
      <c r="B71" s="4316"/>
      <c r="C71" s="4316"/>
      <c r="D71" s="4316"/>
      <c r="E71" s="4317"/>
      <c r="F71" s="2986"/>
      <c r="G71" s="4315">
        <v>1</v>
      </c>
      <c r="H71" s="4316"/>
      <c r="I71" s="4317"/>
      <c r="J71" s="775" t="s">
        <v>1654</v>
      </c>
      <c r="K71" s="4318">
        <v>1</v>
      </c>
      <c r="L71" s="4319"/>
      <c r="M71" s="4319"/>
      <c r="N71" s="4319"/>
      <c r="O71" s="4320" t="s">
        <v>1654</v>
      </c>
      <c r="P71" s="4321"/>
      <c r="Q71" s="427" t="s">
        <v>1208</v>
      </c>
      <c r="R71" s="156"/>
    </row>
    <row r="72" spans="1:20" s="42" customFormat="1" ht="24.75" customHeight="1">
      <c r="A72" s="4178">
        <v>2</v>
      </c>
      <c r="B72" s="4179"/>
      <c r="C72" s="4179"/>
      <c r="D72" s="4179"/>
      <c r="E72" s="4180"/>
      <c r="F72" s="2987"/>
      <c r="G72" s="4178">
        <v>2</v>
      </c>
      <c r="H72" s="4179"/>
      <c r="I72" s="4180"/>
      <c r="J72" s="2987"/>
      <c r="K72" s="4171">
        <v>2</v>
      </c>
      <c r="L72" s="4172"/>
      <c r="M72" s="4172"/>
      <c r="N72" s="4172"/>
      <c r="O72" s="4216"/>
      <c r="P72" s="4217"/>
      <c r="Q72" s="428"/>
      <c r="R72" s="156"/>
    </row>
    <row r="73" spans="1:20" s="42" customFormat="1" ht="24.75" customHeight="1">
      <c r="A73" s="4178">
        <v>3</v>
      </c>
      <c r="B73" s="4179"/>
      <c r="C73" s="4179"/>
      <c r="D73" s="4179"/>
      <c r="E73" s="4180"/>
      <c r="F73" s="2987"/>
      <c r="G73" s="4178">
        <v>3</v>
      </c>
      <c r="H73" s="4179"/>
      <c r="I73" s="4180"/>
      <c r="J73" s="1003" t="s">
        <v>2692</v>
      </c>
      <c r="K73" s="4171">
        <v>3</v>
      </c>
      <c r="L73" s="4172"/>
      <c r="M73" s="4172"/>
      <c r="N73" s="4172"/>
      <c r="O73" s="4173" t="s">
        <v>2692</v>
      </c>
      <c r="P73" s="4174"/>
      <c r="Q73" s="4169" t="s">
        <v>3973</v>
      </c>
      <c r="R73" s="4170"/>
      <c r="S73" s="1262"/>
      <c r="T73" s="1262"/>
    </row>
    <row r="74" spans="1:20" s="42" customFormat="1" ht="24.75" customHeight="1">
      <c r="A74" s="4178">
        <v>4</v>
      </c>
      <c r="B74" s="4179"/>
      <c r="C74" s="4179"/>
      <c r="D74" s="4179"/>
      <c r="E74" s="4180"/>
      <c r="F74" s="2987"/>
      <c r="G74" s="4178">
        <v>4</v>
      </c>
      <c r="H74" s="4179"/>
      <c r="I74" s="4180"/>
      <c r="J74" s="2987"/>
      <c r="K74" s="4171">
        <v>4</v>
      </c>
      <c r="L74" s="4172"/>
      <c r="M74" s="4172"/>
      <c r="N74" s="4172"/>
      <c r="O74" s="4173" t="s">
        <v>2692</v>
      </c>
      <c r="P74" s="4174"/>
      <c r="Q74" s="4169"/>
      <c r="R74" s="4170"/>
      <c r="S74" s="1262"/>
      <c r="T74" s="1262"/>
    </row>
    <row r="75" spans="1:20" s="42" customFormat="1" ht="24.75" customHeight="1">
      <c r="A75" s="4178">
        <v>5</v>
      </c>
      <c r="B75" s="4179"/>
      <c r="C75" s="4179"/>
      <c r="D75" s="4179"/>
      <c r="E75" s="4180"/>
      <c r="F75" s="2987"/>
      <c r="G75" s="4178">
        <v>5</v>
      </c>
      <c r="H75" s="4179"/>
      <c r="I75" s="4180"/>
      <c r="J75" s="1003" t="s">
        <v>3266</v>
      </c>
      <c r="K75" s="4171">
        <v>5</v>
      </c>
      <c r="L75" s="4172"/>
      <c r="M75" s="4172"/>
      <c r="N75" s="4172"/>
      <c r="O75" s="4216"/>
      <c r="P75" s="4217"/>
      <c r="Q75" s="4169"/>
      <c r="R75" s="4170"/>
      <c r="S75" s="1262"/>
      <c r="T75" s="1262"/>
    </row>
    <row r="76" spans="1:20" s="42" customFormat="1" ht="24" customHeight="1">
      <c r="A76" s="4178">
        <v>6</v>
      </c>
      <c r="B76" s="4179"/>
      <c r="C76" s="4179"/>
      <c r="D76" s="4179"/>
      <c r="E76" s="4180"/>
      <c r="F76" s="2987"/>
      <c r="G76" s="4178">
        <v>6</v>
      </c>
      <c r="H76" s="4179"/>
      <c r="I76" s="4180"/>
      <c r="J76" s="2987"/>
      <c r="K76" s="4171">
        <v>6</v>
      </c>
      <c r="L76" s="4172"/>
      <c r="M76" s="4172"/>
      <c r="N76" s="4172"/>
      <c r="O76" s="4216"/>
      <c r="P76" s="4217"/>
      <c r="Q76" s="4169"/>
      <c r="R76" s="4170"/>
    </row>
    <row r="77" spans="1:20" s="42" customFormat="1" ht="24.75" customHeight="1">
      <c r="A77" s="4178">
        <v>7</v>
      </c>
      <c r="B77" s="4179"/>
      <c r="C77" s="4179"/>
      <c r="D77" s="4179"/>
      <c r="E77" s="4180"/>
      <c r="F77" s="2987"/>
      <c r="G77" s="4178">
        <v>7</v>
      </c>
      <c r="H77" s="4179"/>
      <c r="I77" s="4180"/>
      <c r="J77" s="1003" t="s">
        <v>3267</v>
      </c>
      <c r="K77" s="4171">
        <v>7</v>
      </c>
      <c r="L77" s="4172"/>
      <c r="M77" s="4172"/>
      <c r="N77" s="4172"/>
      <c r="O77" s="4216"/>
      <c r="P77" s="4217"/>
      <c r="Q77" s="156"/>
      <c r="R77" s="156"/>
    </row>
    <row r="78" spans="1:20" s="42" customFormat="1" ht="24.75" customHeight="1">
      <c r="A78" s="4178">
        <v>8</v>
      </c>
      <c r="B78" s="4179"/>
      <c r="C78" s="4179"/>
      <c r="D78" s="4179"/>
      <c r="E78" s="4180"/>
      <c r="F78" s="2987"/>
      <c r="G78" s="4178">
        <v>8</v>
      </c>
      <c r="H78" s="4179"/>
      <c r="I78" s="4180"/>
      <c r="J78" s="2987"/>
      <c r="K78" s="4171">
        <v>8</v>
      </c>
      <c r="L78" s="4172"/>
      <c r="M78" s="4172"/>
      <c r="N78" s="4172"/>
      <c r="O78" s="4216"/>
      <c r="P78" s="4217"/>
      <c r="Q78" s="156"/>
      <c r="R78" s="156"/>
    </row>
    <row r="79" spans="1:20" s="42" customFormat="1" ht="24.75" customHeight="1">
      <c r="A79" s="4178">
        <v>9</v>
      </c>
      <c r="B79" s="4179"/>
      <c r="C79" s="4179"/>
      <c r="D79" s="4179"/>
      <c r="E79" s="4180"/>
      <c r="F79" s="2987"/>
      <c r="G79" s="4178">
        <v>9</v>
      </c>
      <c r="H79" s="4179"/>
      <c r="I79" s="4180"/>
      <c r="J79" s="1003" t="s">
        <v>3268</v>
      </c>
      <c r="K79" s="4171">
        <v>9</v>
      </c>
      <c r="L79" s="4172"/>
      <c r="M79" s="4172"/>
      <c r="N79" s="4172"/>
      <c r="O79" s="4216"/>
      <c r="P79" s="4217"/>
      <c r="Q79" s="156"/>
      <c r="R79" s="156"/>
    </row>
    <row r="80" spans="1:20" s="42" customFormat="1" ht="24.75" customHeight="1">
      <c r="A80" s="4178">
        <v>10</v>
      </c>
      <c r="B80" s="4179"/>
      <c r="C80" s="4179"/>
      <c r="D80" s="4179"/>
      <c r="E80" s="4180"/>
      <c r="F80" s="2987"/>
      <c r="G80" s="4178">
        <v>10</v>
      </c>
      <c r="H80" s="4179"/>
      <c r="I80" s="4180"/>
      <c r="J80" s="2987"/>
      <c r="K80" s="4171">
        <v>10</v>
      </c>
      <c r="L80" s="4172"/>
      <c r="M80" s="4172"/>
      <c r="N80" s="4172"/>
      <c r="O80" s="4216"/>
      <c r="P80" s="4217"/>
      <c r="Q80" s="156"/>
    </row>
    <row r="81" spans="1:19" s="42" customFormat="1" ht="24.75" customHeight="1">
      <c r="A81" s="4178">
        <v>11</v>
      </c>
      <c r="B81" s="4179"/>
      <c r="C81" s="4179"/>
      <c r="D81" s="4179"/>
      <c r="E81" s="4180"/>
      <c r="F81" s="2987"/>
      <c r="G81" s="4178">
        <v>11</v>
      </c>
      <c r="H81" s="4179"/>
      <c r="I81" s="4180"/>
      <c r="J81" s="1003" t="s">
        <v>3269</v>
      </c>
      <c r="K81" s="4178">
        <v>11</v>
      </c>
      <c r="L81" s="4179"/>
      <c r="M81" s="4179"/>
      <c r="N81" s="4180"/>
      <c r="O81" s="4216"/>
      <c r="P81" s="4217"/>
      <c r="Q81" s="156"/>
      <c r="R81" s="156"/>
    </row>
    <row r="82" spans="1:19" s="42" customFormat="1" ht="24.75" customHeight="1">
      <c r="A82" s="4301">
        <v>12</v>
      </c>
      <c r="B82" s="4302"/>
      <c r="C82" s="4302"/>
      <c r="D82" s="4302"/>
      <c r="E82" s="4303"/>
      <c r="F82" s="2988"/>
      <c r="G82" s="4301">
        <v>12</v>
      </c>
      <c r="H82" s="4302"/>
      <c r="I82" s="4303"/>
      <c r="J82" s="2988"/>
      <c r="K82" s="4301">
        <v>12</v>
      </c>
      <c r="L82" s="4302"/>
      <c r="M82" s="4302"/>
      <c r="N82" s="4303"/>
      <c r="O82" s="4352"/>
      <c r="P82" s="4353"/>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1893</v>
      </c>
      <c r="B86" s="786" t="s">
        <v>6375</v>
      </c>
      <c r="E86" s="57"/>
      <c r="G86" s="87"/>
      <c r="H86" s="55" t="s">
        <v>4066</v>
      </c>
      <c r="I86" s="1316" t="str">
        <f>'Part I-Project Information'!$K$94</f>
        <v>Income Averaging</v>
      </c>
      <c r="M86" s="777"/>
      <c r="N86" s="7"/>
      <c r="Q86" s="7"/>
      <c r="R86" s="367"/>
    </row>
    <row r="87" spans="1:19" s="101" customFormat="1" ht="9" customHeight="1">
      <c r="A87" s="137"/>
      <c r="B87" s="4185" t="s">
        <v>3976</v>
      </c>
      <c r="C87" s="4185"/>
      <c r="D87" s="4185"/>
      <c r="E87" s="4185"/>
      <c r="F87" s="4185"/>
      <c r="G87" s="4185"/>
      <c r="H87" s="4185"/>
      <c r="I87" s="4185"/>
      <c r="J87" s="4185"/>
      <c r="K87" s="4185"/>
      <c r="L87" s="4185"/>
      <c r="M87" s="777"/>
      <c r="N87" s="7"/>
      <c r="Q87" s="7"/>
      <c r="R87" s="367"/>
    </row>
    <row r="88" spans="1:19" s="101" customFormat="1" ht="13.5" customHeight="1">
      <c r="B88" s="4185"/>
      <c r="C88" s="4185"/>
      <c r="D88" s="4185"/>
      <c r="E88" s="4185"/>
      <c r="F88" s="4185"/>
      <c r="G88" s="4185"/>
      <c r="H88" s="4185"/>
      <c r="I88" s="4185"/>
      <c r="J88" s="4185"/>
      <c r="K88" s="4185"/>
      <c r="L88" s="4185"/>
      <c r="M88" s="782">
        <v>2</v>
      </c>
      <c r="N88" s="381" t="s">
        <v>1893</v>
      </c>
      <c r="O88" s="791">
        <f>IF(OR($P$35="Yes",NOT($J$84="9%")),0,MIN($M88,O89+O90))</f>
        <v>2</v>
      </c>
      <c r="P88" s="791">
        <f>IF(NOT($J$84="9%"),0,MIN($M88, P89+P90))</f>
        <v>0</v>
      </c>
    </row>
    <row r="89" spans="1:19" s="101" customFormat="1" ht="13.5" customHeight="1">
      <c r="A89" s="137"/>
      <c r="B89" s="1279" t="s">
        <v>1896</v>
      </c>
      <c r="C89" s="1268" t="s">
        <v>3977</v>
      </c>
      <c r="D89" s="52"/>
      <c r="H89" s="52" t="s">
        <v>3978</v>
      </c>
      <c r="I89" s="1266"/>
      <c r="J89" s="1318">
        <f>'Part VI-Revenues &amp; Expenses'!B50</f>
        <v>57.916666666666664</v>
      </c>
      <c r="L89" s="4188" t="str">
        <f>IF(AND(O89&gt;0,O90&gt;0), "CHOOSE EITHER A OR B, NOT BOTH!", "")</f>
        <v/>
      </c>
      <c r="M89" s="910">
        <v>2</v>
      </c>
      <c r="N89" s="172" t="s">
        <v>1896</v>
      </c>
      <c r="O89" s="2563">
        <v>2</v>
      </c>
      <c r="P89" s="2989"/>
      <c r="Q89" s="1295" t="str">
        <f>IF(OR($O89=$M89,$O89=0,$O89=""),"","*CHECK!*")</f>
        <v/>
      </c>
      <c r="R89" s="892" t="s">
        <v>4265</v>
      </c>
    </row>
    <row r="90" spans="1:19" s="101" customFormat="1" ht="13.5" customHeight="1">
      <c r="A90" s="1267" t="s">
        <v>3104</v>
      </c>
      <c r="B90" s="1279" t="s">
        <v>1898</v>
      </c>
      <c r="C90" s="1268" t="s">
        <v>3979</v>
      </c>
      <c r="D90" s="52"/>
      <c r="I90" s="1266"/>
      <c r="K90" s="52"/>
      <c r="L90" s="4188"/>
      <c r="M90" s="910">
        <v>2</v>
      </c>
      <c r="N90" s="172" t="s">
        <v>1898</v>
      </c>
      <c r="O90" s="2564"/>
      <c r="P90" s="2990"/>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189" t="s">
        <v>3980</v>
      </c>
      <c r="I92" s="4190"/>
      <c r="J92" s="1271" t="s">
        <v>3981</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48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3469</v>
      </c>
      <c r="E94" s="818"/>
      <c r="F94" s="774"/>
      <c r="I94" s="789"/>
      <c r="J94" s="789"/>
      <c r="K94" s="789"/>
      <c r="L94" s="789"/>
      <c r="M94" s="789"/>
      <c r="N94" s="381" t="s">
        <v>1898</v>
      </c>
      <c r="O94" s="2671"/>
      <c r="P94" s="2954"/>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70"/>
      <c r="B96" s="3971"/>
      <c r="C96" s="3971"/>
      <c r="D96" s="3971"/>
      <c r="E96" s="3971"/>
      <c r="F96" s="3971"/>
      <c r="G96" s="3971"/>
      <c r="H96" s="3971"/>
      <c r="I96" s="3971"/>
      <c r="J96" s="3971"/>
      <c r="K96" s="3971"/>
      <c r="L96" s="3971"/>
      <c r="M96" s="3971"/>
      <c r="N96" s="3971"/>
      <c r="O96" s="3971"/>
      <c r="P96" s="3972"/>
      <c r="Q96" s="427"/>
    </row>
    <row r="97" spans="1:21" ht="7.5" customHeight="1" thickBot="1"/>
    <row r="98" spans="1:21" s="43" customFormat="1" ht="13.5" customHeight="1" thickBot="1">
      <c r="A98" s="151" t="s">
        <v>1713</v>
      </c>
      <c r="B98" s="104" t="s">
        <v>3519</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354" t="s">
        <v>4248</v>
      </c>
      <c r="J101" s="4355"/>
      <c r="K101" s="4355"/>
      <c r="L101" s="4356"/>
      <c r="M101" s="72">
        <v>20</v>
      </c>
      <c r="N101" s="172" t="s">
        <v>1893</v>
      </c>
      <c r="O101" s="2566">
        <v>20</v>
      </c>
      <c r="P101" s="2993"/>
      <c r="Q101" s="1295"/>
      <c r="R101" s="892" t="s">
        <v>4265</v>
      </c>
    </row>
    <row r="102" spans="1:21" s="101" customFormat="1" ht="12.75" customHeight="1">
      <c r="A102" s="137" t="s">
        <v>1895</v>
      </c>
      <c r="B102" s="163" t="s">
        <v>3416</v>
      </c>
      <c r="D102" s="961"/>
      <c r="F102" s="1317"/>
      <c r="H102" s="753" t="s">
        <v>3485</v>
      </c>
      <c r="I102" s="4357"/>
      <c r="J102" s="4358"/>
      <c r="K102" s="4358"/>
      <c r="L102" s="4359"/>
      <c r="M102" s="2672" t="s">
        <v>1192</v>
      </c>
      <c r="N102" s="439" t="s">
        <v>1895</v>
      </c>
      <c r="O102" s="2567">
        <v>0</v>
      </c>
      <c r="P102" s="2994"/>
      <c r="R102" s="892" t="s">
        <v>4265</v>
      </c>
    </row>
    <row r="103" spans="1:21" s="43" customFormat="1" ht="12.75" customHeight="1" thickBot="1">
      <c r="A103" s="42"/>
      <c r="B103" s="1007" t="s">
        <v>3373</v>
      </c>
      <c r="C103" s="42"/>
      <c r="D103" s="48"/>
      <c r="E103" s="48"/>
      <c r="F103" s="48"/>
      <c r="G103" s="48"/>
      <c r="H103" s="36"/>
      <c r="I103" s="4360"/>
      <c r="J103" s="4361"/>
      <c r="K103" s="4361"/>
      <c r="L103" s="4362"/>
      <c r="M103" s="46"/>
      <c r="N103" s="62"/>
      <c r="O103" s="3"/>
      <c r="P103" s="2652"/>
    </row>
    <row r="104" spans="1:21" s="43" customFormat="1" ht="90" customHeight="1" thickTop="1" thickBot="1">
      <c r="A104" s="4209" t="s">
        <v>6995</v>
      </c>
      <c r="B104" s="4210"/>
      <c r="C104" s="4210"/>
      <c r="D104" s="4210"/>
      <c r="E104" s="4210"/>
      <c r="F104" s="4210"/>
      <c r="G104" s="4210"/>
      <c r="H104" s="4210"/>
      <c r="I104" s="4210"/>
      <c r="J104" s="4210"/>
      <c r="K104" s="4210"/>
      <c r="L104" s="4210"/>
      <c r="M104" s="4210"/>
      <c r="N104" s="4210"/>
      <c r="O104" s="4210"/>
      <c r="P104" s="4211"/>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70"/>
      <c r="B106" s="3971"/>
      <c r="C106" s="3971"/>
      <c r="D106" s="3971"/>
      <c r="E106" s="3971"/>
      <c r="F106" s="3971"/>
      <c r="G106" s="3971"/>
      <c r="H106" s="3971"/>
      <c r="I106" s="3971"/>
      <c r="J106" s="3971"/>
      <c r="K106" s="3971"/>
      <c r="L106" s="3971"/>
      <c r="M106" s="3971"/>
      <c r="N106" s="3971"/>
      <c r="O106" s="3971"/>
      <c r="P106" s="3972"/>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6382</v>
      </c>
      <c r="I108" s="1705" t="s">
        <v>6373</v>
      </c>
      <c r="J108" s="1625" t="str">
        <f>$M$56</f>
        <v>Rural</v>
      </c>
      <c r="K108" s="1624" t="s">
        <v>367</v>
      </c>
      <c r="L108" s="1625" t="str">
        <f>M43</f>
        <v>New Supply</v>
      </c>
      <c r="M108" s="2648">
        <v>6</v>
      </c>
      <c r="N108" s="439"/>
      <c r="O108" s="1687">
        <f>MAX(O124,O131,O138)</f>
        <v>2</v>
      </c>
      <c r="P108" s="1687">
        <f>MAX(P124,P131,P138)</f>
        <v>0</v>
      </c>
      <c r="Q108" s="108" t="s">
        <v>422</v>
      </c>
      <c r="R108" s="4386" t="s">
        <v>4125</v>
      </c>
      <c r="S108" s="4387"/>
      <c r="T108" s="4387"/>
      <c r="U108" s="4388"/>
    </row>
    <row r="109" spans="1:21" s="43" customFormat="1" ht="17.25" customHeight="1">
      <c r="A109" s="151"/>
      <c r="B109" s="109" t="s">
        <v>3470</v>
      </c>
      <c r="D109" s="41"/>
      <c r="H109" s="163"/>
      <c r="M109" s="2648"/>
      <c r="N109" s="439"/>
      <c r="O109" s="891" t="s">
        <v>3271</v>
      </c>
      <c r="P109" s="891" t="s">
        <v>3272</v>
      </c>
      <c r="Q109" s="108"/>
      <c r="R109" s="4389"/>
      <c r="S109" s="4390"/>
      <c r="T109" s="4390"/>
      <c r="U109" s="4391"/>
    </row>
    <row r="110" spans="1:21" s="43" customFormat="1" ht="11.25" customHeight="1">
      <c r="A110" s="151"/>
      <c r="B110" s="365" t="s">
        <v>1896</v>
      </c>
      <c r="C110" s="36" t="s">
        <v>3985</v>
      </c>
      <c r="D110" s="961"/>
      <c r="E110" s="101"/>
      <c r="F110" s="101"/>
      <c r="G110" s="101"/>
      <c r="H110" s="45"/>
      <c r="I110" s="49"/>
      <c r="M110" s="2648"/>
      <c r="N110" s="439"/>
      <c r="O110" s="2492" t="s">
        <v>2769</v>
      </c>
      <c r="P110" s="2952"/>
      <c r="Q110" s="108"/>
      <c r="R110" s="4389"/>
      <c r="S110" s="4390"/>
      <c r="T110" s="4390"/>
      <c r="U110" s="4391"/>
    </row>
    <row r="111" spans="1:21" s="43" customFormat="1" ht="11.25" customHeight="1">
      <c r="A111" s="151"/>
      <c r="B111" s="365" t="s">
        <v>1898</v>
      </c>
      <c r="C111" s="36" t="s">
        <v>3986</v>
      </c>
      <c r="D111" s="961"/>
      <c r="E111" s="101"/>
      <c r="F111" s="101"/>
      <c r="G111" s="101"/>
      <c r="H111" s="45"/>
      <c r="I111" s="49"/>
      <c r="J111" s="48"/>
      <c r="K111" s="48"/>
      <c r="L111" s="101"/>
      <c r="M111" s="101"/>
      <c r="N111" s="439"/>
      <c r="O111" s="2666" t="s">
        <v>2769</v>
      </c>
      <c r="P111" s="2953"/>
      <c r="Q111" s="108"/>
      <c r="R111" s="4389"/>
      <c r="S111" s="4390"/>
      <c r="T111" s="4390"/>
      <c r="U111" s="4391"/>
    </row>
    <row r="112" spans="1:21" s="43" customFormat="1" ht="11.25" customHeight="1">
      <c r="A112" s="151"/>
      <c r="B112" s="365" t="s">
        <v>2416</v>
      </c>
      <c r="C112" s="36" t="s">
        <v>6386</v>
      </c>
      <c r="D112" s="961"/>
      <c r="E112" s="101"/>
      <c r="F112" s="101"/>
      <c r="G112" s="101"/>
      <c r="H112" s="45"/>
      <c r="I112" s="49"/>
      <c r="J112" s="48"/>
      <c r="K112" s="48"/>
      <c r="L112" s="101"/>
      <c r="M112" s="101"/>
      <c r="N112" s="439"/>
      <c r="O112" s="2666" t="s">
        <v>6869</v>
      </c>
      <c r="P112" s="2953"/>
      <c r="Q112" s="108"/>
      <c r="R112" s="4389"/>
      <c r="S112" s="4390"/>
      <c r="T112" s="4390"/>
      <c r="U112" s="4391"/>
    </row>
    <row r="113" spans="1:21" s="43" customFormat="1" ht="11.25" customHeight="1">
      <c r="A113" s="151"/>
      <c r="B113" s="365" t="s">
        <v>1178</v>
      </c>
      <c r="C113" s="36" t="s">
        <v>6387</v>
      </c>
      <c r="D113" s="961"/>
      <c r="E113" s="101"/>
      <c r="F113" s="101"/>
      <c r="G113" s="101"/>
      <c r="H113" s="45"/>
      <c r="I113" s="49"/>
      <c r="J113" s="48"/>
      <c r="K113" s="48"/>
      <c r="L113" s="101"/>
      <c r="M113" s="101"/>
      <c r="N113" s="439"/>
      <c r="O113" s="2666" t="s">
        <v>2769</v>
      </c>
      <c r="P113" s="2953"/>
      <c r="Q113" s="108"/>
      <c r="R113" s="4389"/>
      <c r="S113" s="4390"/>
      <c r="T113" s="4390"/>
      <c r="U113" s="4391"/>
    </row>
    <row r="114" spans="1:21" s="43" customFormat="1" ht="11.25" customHeight="1">
      <c r="A114" s="151"/>
      <c r="B114" s="365">
        <v>5</v>
      </c>
      <c r="C114" s="36" t="s">
        <v>6547</v>
      </c>
      <c r="D114" s="961"/>
      <c r="E114" s="101"/>
      <c r="F114" s="101"/>
      <c r="G114" s="101"/>
      <c r="H114" s="45"/>
      <c r="I114" s="49"/>
      <c r="J114" s="48"/>
      <c r="K114" s="48"/>
      <c r="L114" s="101"/>
      <c r="M114" s="101"/>
      <c r="N114" s="439"/>
      <c r="O114" s="2671" t="s">
        <v>6869</v>
      </c>
      <c r="P114" s="2954"/>
      <c r="Q114" s="108"/>
      <c r="R114" s="4389"/>
      <c r="S114" s="4390"/>
      <c r="T114" s="4390"/>
      <c r="U114" s="4391"/>
    </row>
    <row r="115" spans="1:21" s="43" customFormat="1" ht="3" customHeight="1">
      <c r="A115" s="151"/>
      <c r="B115" s="104"/>
      <c r="D115" s="41"/>
      <c r="H115" s="45"/>
      <c r="I115" s="49"/>
      <c r="J115" s="48"/>
      <c r="K115" s="48"/>
      <c r="M115" s="2648"/>
      <c r="N115" s="439"/>
      <c r="O115" s="3"/>
      <c r="P115" s="3"/>
      <c r="Q115" s="108"/>
      <c r="R115" s="4389"/>
      <c r="S115" s="4390"/>
      <c r="T115" s="4390"/>
      <c r="U115" s="4391"/>
    </row>
    <row r="116" spans="1:21" s="43" customFormat="1" ht="13.5" customHeight="1">
      <c r="A116" s="151"/>
      <c r="B116" s="109" t="s">
        <v>3474</v>
      </c>
      <c r="D116" s="41"/>
      <c r="F116" s="4372" t="s">
        <v>3347</v>
      </c>
      <c r="G116" s="4372"/>
      <c r="H116" s="4372"/>
      <c r="I116" s="4372"/>
      <c r="J116" s="4372" t="s">
        <v>3348</v>
      </c>
      <c r="K116" s="4372"/>
      <c r="L116" s="4372"/>
      <c r="M116" s="4372"/>
      <c r="N116" s="439"/>
      <c r="O116" s="4373" t="s">
        <v>4067</v>
      </c>
      <c r="P116" s="4374"/>
      <c r="Q116" s="108"/>
      <c r="R116" s="4389"/>
      <c r="S116" s="4390"/>
      <c r="T116" s="4390"/>
      <c r="U116" s="4391"/>
    </row>
    <row r="117" spans="1:21" s="43" customFormat="1" ht="12.75" customHeight="1">
      <c r="A117" s="151"/>
      <c r="C117" s="462" t="s">
        <v>3473</v>
      </c>
      <c r="D117" s="552"/>
      <c r="E117" s="265"/>
      <c r="F117" s="4194">
        <v>32.651513999999999</v>
      </c>
      <c r="G117" s="4195"/>
      <c r="H117" s="4192"/>
      <c r="I117" s="4193"/>
      <c r="J117" s="4194">
        <v>-83.749906999999993</v>
      </c>
      <c r="K117" s="4195"/>
      <c r="L117" s="4192"/>
      <c r="M117" s="4193"/>
      <c r="N117" s="439"/>
      <c r="Q117" s="108"/>
      <c r="R117" s="4389"/>
      <c r="S117" s="4390"/>
      <c r="T117" s="4390"/>
      <c r="U117" s="4391"/>
    </row>
    <row r="118" spans="1:21" s="43" customFormat="1" ht="12.75" customHeight="1">
      <c r="A118" s="4205" t="s">
        <v>3543</v>
      </c>
      <c r="B118" s="4205"/>
      <c r="E118" s="1252" t="s">
        <v>6388</v>
      </c>
      <c r="F118" s="4214">
        <v>32.651513999999999</v>
      </c>
      <c r="G118" s="4215"/>
      <c r="H118" s="4175"/>
      <c r="I118" s="4176"/>
      <c r="J118" s="4214">
        <v>-83.749906999999993</v>
      </c>
      <c r="K118" s="4215"/>
      <c r="L118" s="4175"/>
      <c r="M118" s="4176"/>
      <c r="N118" s="439"/>
      <c r="O118" s="2568">
        <v>0</v>
      </c>
      <c r="P118" s="2995"/>
      <c r="Q118" s="108"/>
      <c r="R118" s="4389"/>
      <c r="S118" s="4390"/>
      <c r="T118" s="4390"/>
      <c r="U118" s="4391"/>
    </row>
    <row r="119" spans="1:21" s="43" customFormat="1" ht="12.75" customHeight="1">
      <c r="A119" s="4205"/>
      <c r="B119" s="4205"/>
      <c r="C119" s="462" t="s">
        <v>3517</v>
      </c>
      <c r="D119" s="552"/>
      <c r="E119" s="265"/>
      <c r="F119" s="4396"/>
      <c r="G119" s="4397"/>
      <c r="H119" s="4363"/>
      <c r="I119" s="4364"/>
      <c r="J119" s="4396"/>
      <c r="K119" s="4397"/>
      <c r="L119" s="4363"/>
      <c r="M119" s="4364"/>
      <c r="N119" s="439"/>
      <c r="O119" s="439"/>
      <c r="P119" s="439"/>
      <c r="Q119" s="108"/>
      <c r="R119" s="4389"/>
      <c r="S119" s="4390"/>
      <c r="T119" s="4390"/>
      <c r="U119" s="4391"/>
    </row>
    <row r="120" spans="1:21" s="43" customFormat="1" ht="12.75" customHeight="1">
      <c r="A120" s="4205"/>
      <c r="B120" s="4205"/>
      <c r="E120" s="1252" t="s">
        <v>3516</v>
      </c>
      <c r="F120" s="4212"/>
      <c r="G120" s="4213"/>
      <c r="H120" s="4206"/>
      <c r="I120" s="4207"/>
      <c r="J120" s="4212"/>
      <c r="K120" s="4213"/>
      <c r="L120" s="4206"/>
      <c r="M120" s="4207"/>
      <c r="N120" s="439"/>
      <c r="O120" s="2568"/>
      <c r="P120" s="2995"/>
      <c r="Q120" s="108"/>
      <c r="R120" s="4392"/>
      <c r="S120" s="4393"/>
      <c r="T120" s="4393"/>
      <c r="U120" s="4394"/>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6383</v>
      </c>
      <c r="B122" s="104"/>
      <c r="D122" s="41"/>
      <c r="F122" s="61" t="s">
        <v>6296</v>
      </c>
      <c r="I122" s="4208" t="str">
        <f>IF(AND(O124&gt;0,O131&gt;0),"Pick A or B, not both!","")</f>
        <v/>
      </c>
      <c r="J122" s="4208"/>
      <c r="K122" s="4208" t="str">
        <f>IF(AND(P124&gt;0,P131&gt;0),"Pick A or B, not both!","")</f>
        <v/>
      </c>
      <c r="L122" s="4208"/>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3369</v>
      </c>
      <c r="D124" s="41"/>
      <c r="F124" s="45" t="s">
        <v>3424</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48"/>
      <c r="N125" s="381"/>
      <c r="O125" s="2671"/>
      <c r="P125" s="2954"/>
      <c r="Q125" s="108"/>
    </row>
    <row r="126" spans="1:21" s="401" customFormat="1" ht="36.75" customHeight="1">
      <c r="B126" s="423" t="s">
        <v>1896</v>
      </c>
      <c r="C126" s="4083" t="s">
        <v>6391</v>
      </c>
      <c r="D126" s="4083"/>
      <c r="E126" s="4083"/>
      <c r="F126" s="4083"/>
      <c r="G126" s="4083"/>
      <c r="H126" s="4083"/>
      <c r="I126" s="4196" t="s">
        <v>3515</v>
      </c>
      <c r="J126" s="4197"/>
      <c r="K126" s="4197"/>
      <c r="L126" s="4198"/>
      <c r="M126" s="479">
        <v>6</v>
      </c>
      <c r="N126" s="452" t="s">
        <v>1896</v>
      </c>
      <c r="O126" s="2569"/>
      <c r="P126" s="2996"/>
      <c r="Q126" s="1295"/>
      <c r="R126" s="892" t="s">
        <v>4265</v>
      </c>
    </row>
    <row r="127" spans="1:21" s="401" customFormat="1" ht="12" customHeight="1">
      <c r="A127" s="531" t="s">
        <v>1304</v>
      </c>
      <c r="B127" s="423" t="s">
        <v>1898</v>
      </c>
      <c r="C127" s="4083" t="s">
        <v>6385</v>
      </c>
      <c r="D127" s="4083"/>
      <c r="E127" s="4083"/>
      <c r="F127" s="4083"/>
      <c r="G127" s="534"/>
      <c r="I127" s="4199"/>
      <c r="J127" s="4200"/>
      <c r="K127" s="4200"/>
      <c r="L127" s="4201"/>
      <c r="M127" s="72">
        <v>5</v>
      </c>
      <c r="N127" s="421" t="s">
        <v>1898</v>
      </c>
      <c r="O127" s="2570"/>
      <c r="P127" s="2997"/>
      <c r="Q127" s="1295"/>
      <c r="R127" s="892" t="s">
        <v>4265</v>
      </c>
    </row>
    <row r="128" spans="1:21" s="401" customFormat="1" ht="12" customHeight="1">
      <c r="B128" s="423"/>
      <c r="C128" s="4083"/>
      <c r="D128" s="4083"/>
      <c r="E128" s="4083"/>
      <c r="F128" s="4083"/>
      <c r="G128" s="4008" t="s">
        <v>6389</v>
      </c>
      <c r="H128" s="4191"/>
      <c r="I128" s="4199"/>
      <c r="J128" s="4200"/>
      <c r="K128" s="4200"/>
      <c r="L128" s="4201"/>
      <c r="M128" s="4186" t="str">
        <f>IF(AND(O127&gt;0,O126&gt;0),"Pick A1 or A2!","")</f>
        <v/>
      </c>
      <c r="N128" s="4187"/>
      <c r="O128" s="4187"/>
      <c r="P128" s="4187"/>
      <c r="Q128" s="1295"/>
      <c r="R128" s="1260" t="s">
        <v>6566</v>
      </c>
      <c r="S128" s="1260" t="s">
        <v>6384</v>
      </c>
    </row>
    <row r="129" spans="1:21" s="401" customFormat="1" ht="12" customHeight="1">
      <c r="B129" s="423"/>
      <c r="C129" s="4083"/>
      <c r="D129" s="4083"/>
      <c r="E129" s="4083"/>
      <c r="F129" s="4083"/>
      <c r="G129" s="2571"/>
      <c r="H129" s="2998"/>
      <c r="I129" s="4199"/>
      <c r="J129" s="4200"/>
      <c r="K129" s="4200"/>
      <c r="L129" s="4201"/>
      <c r="Q129" s="895"/>
      <c r="R129" s="1626">
        <v>0.25</v>
      </c>
      <c r="S129" s="1626">
        <v>5</v>
      </c>
    </row>
    <row r="130" spans="1:21" s="401" customFormat="1" ht="12" customHeight="1">
      <c r="B130" s="423"/>
      <c r="C130" s="4083"/>
      <c r="D130" s="4083"/>
      <c r="E130" s="4083"/>
      <c r="F130" s="4083"/>
      <c r="G130" s="1673"/>
      <c r="H130" s="1673"/>
      <c r="I130" s="4202"/>
      <c r="J130" s="4203"/>
      <c r="K130" s="4203"/>
      <c r="L130" s="4204"/>
      <c r="M130" s="101"/>
      <c r="N130" s="101"/>
      <c r="O130" s="101"/>
      <c r="P130" s="101"/>
      <c r="Q130" s="895"/>
      <c r="R130" s="1626">
        <v>0.5</v>
      </c>
      <c r="S130" s="1626">
        <v>4.5</v>
      </c>
    </row>
    <row r="131" spans="1:21" s="401" customFormat="1" ht="12" customHeight="1">
      <c r="A131" s="142" t="s">
        <v>1895</v>
      </c>
      <c r="B131" s="972" t="s">
        <v>3370</v>
      </c>
      <c r="C131" s="573"/>
      <c r="D131" s="573"/>
      <c r="F131" s="959" t="s">
        <v>3423</v>
      </c>
      <c r="I131" s="4181" t="s">
        <v>6938</v>
      </c>
      <c r="J131" s="4182"/>
      <c r="K131" s="4182"/>
      <c r="L131" s="4401" t="s">
        <v>6939</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3984</v>
      </c>
      <c r="D132" s="961"/>
      <c r="F132" s="101"/>
      <c r="G132" s="101"/>
      <c r="H132" s="45"/>
      <c r="I132" s="4183"/>
      <c r="J132" s="4184"/>
      <c r="K132" s="4184"/>
      <c r="L132" s="4402"/>
      <c r="M132" s="101"/>
      <c r="N132" s="378" t="s">
        <v>3394</v>
      </c>
      <c r="O132" s="2500"/>
      <c r="P132" s="2964"/>
      <c r="Q132" s="108"/>
      <c r="R132" s="380"/>
      <c r="S132" s="401"/>
      <c r="T132" s="401"/>
      <c r="U132" s="401"/>
    </row>
    <row r="133" spans="1:21" s="43" customFormat="1" ht="11.25" customHeight="1">
      <c r="A133" s="151"/>
      <c r="B133" s="378" t="s">
        <v>3395</v>
      </c>
      <c r="C133" s="170" t="s">
        <v>3983</v>
      </c>
      <c r="D133" s="961"/>
      <c r="F133" s="101"/>
      <c r="G133" s="101"/>
      <c r="H133" s="45"/>
      <c r="I133" s="4292" t="s">
        <v>6970</v>
      </c>
      <c r="J133" s="4293"/>
      <c r="K133" s="4293"/>
      <c r="L133" s="4294"/>
      <c r="M133" s="101"/>
      <c r="N133" s="378" t="s">
        <v>3395</v>
      </c>
      <c r="O133" s="2671"/>
      <c r="P133" s="2954"/>
      <c r="Q133" s="108"/>
      <c r="R133" s="380"/>
      <c r="S133" s="401"/>
      <c r="T133" s="401"/>
      <c r="U133" s="401"/>
    </row>
    <row r="134" spans="1:21" s="401" customFormat="1" ht="12" customHeight="1">
      <c r="A134" s="137"/>
      <c r="B134" s="1319" t="s">
        <v>1896</v>
      </c>
      <c r="C134" s="3960" t="s">
        <v>3471</v>
      </c>
      <c r="D134" s="3960"/>
      <c r="E134" s="3960"/>
      <c r="F134" s="3960"/>
      <c r="G134" s="3960"/>
      <c r="H134" s="4395"/>
      <c r="I134" s="4295"/>
      <c r="J134" s="4296"/>
      <c r="K134" s="4296"/>
      <c r="L134" s="4297"/>
      <c r="M134" s="72">
        <v>3</v>
      </c>
      <c r="N134" s="421" t="s">
        <v>1896</v>
      </c>
      <c r="O134" s="2563"/>
      <c r="P134" s="2999"/>
      <c r="Q134" s="895" t="str">
        <f>IF(OR($O134=$M134,$O134=0,$O134=""),"","*CHECK!*")</f>
        <v/>
      </c>
      <c r="R134" s="892" t="s">
        <v>4265</v>
      </c>
    </row>
    <row r="135" spans="1:21" s="43" customFormat="1" ht="12" customHeight="1">
      <c r="A135" s="531" t="s">
        <v>1304</v>
      </c>
      <c r="B135" s="1319" t="s">
        <v>1898</v>
      </c>
      <c r="C135" s="3960" t="s">
        <v>3472</v>
      </c>
      <c r="D135" s="3960"/>
      <c r="E135" s="3960"/>
      <c r="F135" s="3960"/>
      <c r="G135" s="3960"/>
      <c r="H135" s="4395"/>
      <c r="I135" s="4292" t="s">
        <v>6940</v>
      </c>
      <c r="J135" s="4293"/>
      <c r="K135" s="4293"/>
      <c r="L135" s="4294"/>
      <c r="M135" s="72">
        <v>2</v>
      </c>
      <c r="N135" s="421" t="s">
        <v>1898</v>
      </c>
      <c r="O135" s="2563"/>
      <c r="P135" s="2989"/>
      <c r="Q135" s="895" t="str">
        <f>IF(OR($O135=$M135,$O135=0,$O135=""),"","*CHECK!*")</f>
        <v/>
      </c>
      <c r="R135" s="892" t="s">
        <v>4265</v>
      </c>
    </row>
    <row r="136" spans="1:21" s="43" customFormat="1" ht="21.75" customHeight="1">
      <c r="A136" s="1715" t="s">
        <v>1304</v>
      </c>
      <c r="B136" s="1716" t="s">
        <v>2416</v>
      </c>
      <c r="C136" s="4083" t="s">
        <v>6548</v>
      </c>
      <c r="D136" s="4083"/>
      <c r="E136" s="4083"/>
      <c r="F136" s="4083"/>
      <c r="G136" s="4083"/>
      <c r="H136" s="4000"/>
      <c r="I136" s="4295"/>
      <c r="J136" s="4296"/>
      <c r="K136" s="4296"/>
      <c r="L136" s="4297"/>
      <c r="M136" s="479">
        <v>1</v>
      </c>
      <c r="N136" s="452" t="s">
        <v>2416</v>
      </c>
      <c r="O136" s="2572"/>
      <c r="P136" s="3000"/>
      <c r="Q136" s="895" t="str">
        <f>IF(OR($O136=$M136,$O136=0,$O136=""),"","*CHECK!*")</f>
        <v/>
      </c>
      <c r="R136" s="892" t="s">
        <v>4265</v>
      </c>
    </row>
    <row r="137" spans="1:21" s="43" customFormat="1" ht="12.6" customHeight="1">
      <c r="A137" s="483" t="s">
        <v>2608</v>
      </c>
      <c r="B137" s="163"/>
      <c r="E137" s="41"/>
      <c r="I137" s="4292" t="s">
        <v>6940</v>
      </c>
      <c r="J137" s="4293"/>
      <c r="K137" s="4293"/>
      <c r="L137" s="4294"/>
      <c r="M137" s="72"/>
      <c r="N137" s="72"/>
      <c r="O137" s="72"/>
      <c r="P137" s="72"/>
      <c r="Q137" s="367"/>
      <c r="R137" s="367"/>
    </row>
    <row r="138" spans="1:21" s="101" customFormat="1" ht="12" customHeight="1">
      <c r="A138" s="137"/>
      <c r="B138" s="423" t="s">
        <v>1178</v>
      </c>
      <c r="C138" s="163" t="s">
        <v>6392</v>
      </c>
      <c r="D138" s="163"/>
      <c r="E138" s="163"/>
      <c r="F138" s="163"/>
      <c r="G138" s="163"/>
      <c r="H138" s="163"/>
      <c r="I138" s="4298"/>
      <c r="J138" s="4299"/>
      <c r="K138" s="4299"/>
      <c r="L138" s="4300"/>
      <c r="M138" s="72">
        <v>2</v>
      </c>
      <c r="N138" s="421" t="s">
        <v>1178</v>
      </c>
      <c r="O138" s="2573">
        <v>2</v>
      </c>
      <c r="P138" s="3001"/>
      <c r="Q138" s="895" t="str">
        <f>IF(OR($O138=$M138,$O138=0,$O138=""),"","*CHECK!*")</f>
        <v/>
      </c>
      <c r="R138" s="892" t="s">
        <v>4265</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209" t="s">
        <v>6971</v>
      </c>
      <c r="B142" s="4210"/>
      <c r="C142" s="4210"/>
      <c r="D142" s="4210"/>
      <c r="E142" s="4210"/>
      <c r="F142" s="4210"/>
      <c r="G142" s="4210"/>
      <c r="H142" s="4210"/>
      <c r="I142" s="4210"/>
      <c r="J142" s="4210"/>
      <c r="K142" s="4210"/>
      <c r="L142" s="4210"/>
      <c r="M142" s="4210"/>
      <c r="N142" s="4210"/>
      <c r="O142" s="4210"/>
      <c r="P142" s="4211"/>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70"/>
      <c r="B144" s="3971"/>
      <c r="C144" s="3971"/>
      <c r="D144" s="3971"/>
      <c r="E144" s="3971"/>
      <c r="F144" s="3971"/>
      <c r="G144" s="3971"/>
      <c r="H144" s="3971"/>
      <c r="I144" s="3971"/>
      <c r="J144" s="3971"/>
      <c r="K144" s="3971"/>
      <c r="L144" s="3971"/>
      <c r="M144" s="3971"/>
      <c r="N144" s="3971"/>
      <c r="O144" s="3971"/>
      <c r="P144" s="3972"/>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6394</v>
      </c>
      <c r="C147" s="2655"/>
      <c r="D147" s="2655"/>
      <c r="E147" s="2655"/>
      <c r="G147" s="1707" t="s">
        <v>3987</v>
      </c>
      <c r="H147" s="1708" t="str">
        <f>'Part I-Project Information'!$H$77</f>
        <v>Family</v>
      </c>
      <c r="M147" s="777">
        <v>3</v>
      </c>
      <c r="N147" s="74"/>
      <c r="O147" s="2574">
        <v>1.5</v>
      </c>
      <c r="P147" s="3002"/>
      <c r="Q147" s="1295" t="str">
        <f>IF(OR($O147&lt;=$M147,$O147=0,$O147=""),"","*CHECK!*")</f>
        <v/>
      </c>
      <c r="R147" s="1690" t="s">
        <v>422</v>
      </c>
      <c r="S147" s="892" t="s">
        <v>4265</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177" t="s">
        <v>6572</v>
      </c>
      <c r="I149" s="4177"/>
      <c r="J149" s="4177"/>
      <c r="K149" s="4177" t="s">
        <v>6573</v>
      </c>
      <c r="L149" s="4177"/>
      <c r="M149" s="2561"/>
      <c r="N149" s="27"/>
    </row>
    <row r="150" spans="1:19" ht="12" customHeight="1">
      <c r="B150" s="2580"/>
      <c r="C150" s="2580"/>
      <c r="D150" s="2580"/>
      <c r="E150" s="2580"/>
      <c r="H150" s="4177"/>
      <c r="I150" s="4177"/>
      <c r="J150" s="4177"/>
      <c r="K150" s="4177"/>
      <c r="L150" s="4177"/>
      <c r="M150" s="2561"/>
      <c r="N150" s="27"/>
    </row>
    <row r="151" spans="1:19" ht="12" customHeight="1">
      <c r="B151" s="2561"/>
      <c r="C151" s="2581" t="s">
        <v>6837</v>
      </c>
      <c r="D151" s="1674"/>
      <c r="E151" s="2561"/>
      <c r="H151" s="4177"/>
      <c r="I151" s="4177"/>
      <c r="J151" s="4177"/>
      <c r="K151" s="4177"/>
      <c r="L151" s="4177"/>
      <c r="M151" s="2561"/>
      <c r="N151" s="27"/>
    </row>
    <row r="152" spans="1:19">
      <c r="B152" s="2582"/>
      <c r="C152" s="4308" t="s">
        <v>6880</v>
      </c>
      <c r="D152" s="4309"/>
      <c r="E152" s="4309"/>
      <c r="F152" s="4309"/>
      <c r="G152" s="4310"/>
      <c r="H152" s="4168" t="s">
        <v>2772</v>
      </c>
      <c r="I152" s="4168"/>
      <c r="J152" s="4168"/>
      <c r="K152" s="4168" t="s">
        <v>2772</v>
      </c>
      <c r="L152" s="4168"/>
      <c r="M152" s="2958"/>
      <c r="N152" s="27"/>
    </row>
    <row r="153" spans="1:19">
      <c r="B153" s="2582"/>
      <c r="C153" s="4305" t="s">
        <v>6881</v>
      </c>
      <c r="D153" s="4306"/>
      <c r="E153" s="4306"/>
      <c r="F153" s="4306"/>
      <c r="G153" s="4307"/>
      <c r="H153" s="4311" t="s">
        <v>2769</v>
      </c>
      <c r="I153" s="4311"/>
      <c r="J153" s="4311"/>
      <c r="K153" s="4311" t="s">
        <v>2769</v>
      </c>
      <c r="L153" s="4311"/>
      <c r="M153" s="2953"/>
      <c r="N153" s="27"/>
    </row>
    <row r="154" spans="1:19" ht="15">
      <c r="B154" s="2582"/>
      <c r="C154" s="4305" t="s">
        <v>6882</v>
      </c>
      <c r="D154" s="4306"/>
      <c r="E154" s="4306"/>
      <c r="F154" s="4306"/>
      <c r="G154" s="4307"/>
      <c r="H154" s="4311" t="s">
        <v>2772</v>
      </c>
      <c r="I154" s="4311"/>
      <c r="J154" s="4311"/>
      <c r="K154" s="4311" t="s">
        <v>2769</v>
      </c>
      <c r="L154" s="4311"/>
      <c r="M154" s="2953"/>
      <c r="N154" s="2561"/>
    </row>
    <row r="155" spans="1:19" ht="15">
      <c r="B155" s="2582"/>
      <c r="C155" s="4305"/>
      <c r="D155" s="4306"/>
      <c r="E155" s="4306"/>
      <c r="F155" s="4306"/>
      <c r="G155" s="4307"/>
      <c r="H155" s="4311"/>
      <c r="I155" s="4311"/>
      <c r="J155" s="4311"/>
      <c r="K155" s="4311"/>
      <c r="L155" s="4311"/>
      <c r="M155" s="2953"/>
      <c r="N155" s="2561"/>
    </row>
    <row r="156" spans="1:19" ht="15">
      <c r="B156" s="2582"/>
      <c r="C156" s="4305"/>
      <c r="D156" s="4306"/>
      <c r="E156" s="4306"/>
      <c r="F156" s="4306"/>
      <c r="G156" s="4307"/>
      <c r="H156" s="4311"/>
      <c r="I156" s="4311"/>
      <c r="J156" s="4311"/>
      <c r="K156" s="4311"/>
      <c r="L156" s="4311"/>
      <c r="M156" s="2953"/>
      <c r="N156" s="2561"/>
    </row>
    <row r="157" spans="1:19" ht="15">
      <c r="B157" s="2582"/>
      <c r="C157" s="4421"/>
      <c r="D157" s="4422"/>
      <c r="E157" s="4422"/>
      <c r="F157" s="4422"/>
      <c r="G157" s="4423"/>
      <c r="H157" s="4282"/>
      <c r="I157" s="4282"/>
      <c r="J157" s="4282"/>
      <c r="K157" s="4282"/>
      <c r="L157" s="4282"/>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30" customHeight="1" thickTop="1" thickBot="1">
      <c r="A159" s="4209" t="s">
        <v>6996</v>
      </c>
      <c r="B159" s="4210"/>
      <c r="C159" s="4210"/>
      <c r="D159" s="4210"/>
      <c r="E159" s="4210"/>
      <c r="F159" s="4210"/>
      <c r="G159" s="4210"/>
      <c r="H159" s="4210"/>
      <c r="I159" s="4210"/>
      <c r="J159" s="4210"/>
      <c r="K159" s="4210"/>
      <c r="L159" s="4210"/>
      <c r="M159" s="4210"/>
      <c r="N159" s="4210"/>
      <c r="O159" s="4210"/>
      <c r="P159" s="4211"/>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58"/>
      <c r="B161" s="4159"/>
      <c r="C161" s="4159"/>
      <c r="D161" s="4159"/>
      <c r="E161" s="4159"/>
      <c r="F161" s="4159"/>
      <c r="G161" s="4159"/>
      <c r="H161" s="4159"/>
      <c r="I161" s="4159"/>
      <c r="J161" s="4159"/>
      <c r="K161" s="4159"/>
      <c r="L161" s="4159"/>
      <c r="M161" s="4159"/>
      <c r="N161" s="4159"/>
      <c r="O161" s="4159"/>
      <c r="P161" s="4160"/>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3487</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c r="P166" s="3003"/>
      <c r="Q166" s="1295" t="str">
        <f>IF(OR($O166=$M166,$O166=0,$O166=""),"","*CHECK!*")</f>
        <v/>
      </c>
      <c r="R166" s="892" t="s">
        <v>4265</v>
      </c>
      <c r="S166" s="1712"/>
      <c r="T166" s="1712"/>
      <c r="U166" s="1712"/>
    </row>
    <row r="167" spans="1:26" s="383" customFormat="1" ht="12" customHeight="1">
      <c r="B167" s="903" t="s">
        <v>2324</v>
      </c>
      <c r="C167" s="4219" t="s">
        <v>6425</v>
      </c>
      <c r="D167" s="4219"/>
      <c r="E167" s="4219"/>
      <c r="F167" s="4219"/>
      <c r="G167" s="4219"/>
      <c r="H167" s="4219"/>
      <c r="I167" s="4219"/>
      <c r="J167" s="4219"/>
      <c r="K167" s="4219"/>
      <c r="L167" s="903"/>
      <c r="M167" s="4289" t="s">
        <v>6302</v>
      </c>
      <c r="N167" s="4289"/>
      <c r="O167" s="4289"/>
      <c r="P167" s="4289"/>
      <c r="S167" s="1712"/>
      <c r="T167" s="1712"/>
      <c r="U167" s="1712"/>
      <c r="V167" s="1408"/>
      <c r="W167" s="1408"/>
      <c r="X167" s="1408"/>
      <c r="Y167" s="1408"/>
      <c r="Z167" s="1408"/>
    </row>
    <row r="168" spans="1:26" s="43" customFormat="1" ht="12.75" customHeight="1">
      <c r="A168" s="364"/>
      <c r="B168" s="366"/>
      <c r="C168" s="4219"/>
      <c r="D168" s="4219"/>
      <c r="E168" s="4219"/>
      <c r="F168" s="4219"/>
      <c r="G168" s="4219"/>
      <c r="H168" s="4219"/>
      <c r="I168" s="4219"/>
      <c r="J168" s="4219"/>
      <c r="K168" s="4219"/>
      <c r="L168" s="903" t="s">
        <v>2324</v>
      </c>
      <c r="M168" s="4286" t="s">
        <v>3425</v>
      </c>
      <c r="N168" s="4287"/>
      <c r="O168" s="4287"/>
      <c r="P168" s="4288"/>
      <c r="S168" s="1712"/>
      <c r="T168" s="1712"/>
      <c r="U168" s="1712"/>
    </row>
    <row r="169" spans="1:26" s="33" customFormat="1" ht="12.75" customHeight="1">
      <c r="B169" s="366" t="s">
        <v>2325</v>
      </c>
      <c r="C169" s="133" t="s">
        <v>4159</v>
      </c>
      <c r="D169" s="463"/>
      <c r="E169" s="463"/>
      <c r="F169" s="463"/>
      <c r="G169" s="463"/>
      <c r="H169" s="463"/>
      <c r="L169" s="366" t="s">
        <v>2325</v>
      </c>
      <c r="M169" s="4283" t="s">
        <v>3425</v>
      </c>
      <c r="N169" s="4284"/>
      <c r="O169" s="4284"/>
      <c r="P169" s="4285"/>
      <c r="S169" s="1712"/>
      <c r="T169" s="1712"/>
      <c r="U169" s="1712"/>
      <c r="V169" s="522"/>
      <c r="W169" s="522"/>
      <c r="X169" s="522"/>
      <c r="Y169" s="522"/>
      <c r="Z169" s="522"/>
    </row>
    <row r="170" spans="1:26" s="33" customFormat="1" ht="12.75" customHeight="1">
      <c r="B170" s="366" t="s">
        <v>2326</v>
      </c>
      <c r="C170" s="463" t="s">
        <v>6426</v>
      </c>
      <c r="D170" s="463"/>
      <c r="E170" s="463"/>
      <c r="F170" s="463"/>
      <c r="G170" s="463"/>
      <c r="H170" s="463"/>
      <c r="L170" s="366" t="s">
        <v>2326</v>
      </c>
      <c r="M170" s="4283" t="s">
        <v>3425</v>
      </c>
      <c r="N170" s="4284"/>
      <c r="O170" s="4284"/>
      <c r="P170" s="4285"/>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6427</v>
      </c>
      <c r="D171" s="463"/>
      <c r="E171" s="463"/>
      <c r="F171" s="463"/>
      <c r="G171" s="463"/>
      <c r="L171" s="366" t="s">
        <v>2327</v>
      </c>
      <c r="M171" s="4279" t="s">
        <v>3425</v>
      </c>
      <c r="N171" s="4280"/>
      <c r="O171" s="4280"/>
      <c r="P171" s="4281"/>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241" t="s">
        <v>6431</v>
      </c>
      <c r="D174" s="4241"/>
      <c r="E174" s="4241"/>
      <c r="F174" s="4241"/>
      <c r="G174" s="4241"/>
      <c r="H174" s="4241"/>
      <c r="I174" s="4241"/>
      <c r="J174" s="4241"/>
      <c r="K174" s="4241"/>
      <c r="L174" s="4241"/>
      <c r="M174" s="971">
        <v>1</v>
      </c>
      <c r="N174" s="903" t="s">
        <v>4285</v>
      </c>
      <c r="O174" s="2585"/>
      <c r="P174" s="3004"/>
      <c r="Q174" s="1295" t="str">
        <f>IF(OR($O174=$M174,$O174=0,$O174=""),"","*CHECK!*")</f>
        <v/>
      </c>
      <c r="R174" s="892" t="s">
        <v>4265</v>
      </c>
    </row>
    <row r="175" spans="1:26" ht="36.75" customHeight="1">
      <c r="A175" s="478"/>
      <c r="B175" s="379" t="s">
        <v>2325</v>
      </c>
      <c r="C175" s="4241" t="s">
        <v>6432</v>
      </c>
      <c r="D175" s="4241"/>
      <c r="E175" s="4241"/>
      <c r="F175" s="4241"/>
      <c r="G175" s="4241"/>
      <c r="H175" s="4241"/>
      <c r="I175" s="4241"/>
      <c r="J175" s="4241"/>
      <c r="K175" s="4241"/>
      <c r="L175" s="4241"/>
      <c r="M175" s="971">
        <v>1</v>
      </c>
      <c r="N175" s="903" t="s">
        <v>6563</v>
      </c>
      <c r="O175" s="2586"/>
      <c r="P175" s="3005"/>
      <c r="Q175" s="1295" t="str">
        <f>IF(OR($O175=$M175,$O175=0,$O175=""),"","*CHECK!*")</f>
        <v/>
      </c>
      <c r="R175" s="892" t="s">
        <v>4265</v>
      </c>
    </row>
    <row r="176" spans="1:26" ht="12" customHeight="1">
      <c r="A176" s="478"/>
      <c r="B176" s="366" t="s">
        <v>2326</v>
      </c>
      <c r="C176" s="898" t="s">
        <v>6565</v>
      </c>
      <c r="D176" s="902"/>
      <c r="E176" s="902"/>
      <c r="F176" s="902"/>
      <c r="G176" s="902"/>
      <c r="H176" s="902"/>
      <c r="I176" s="902"/>
      <c r="J176" s="902"/>
      <c r="K176" s="902"/>
      <c r="L176" s="902"/>
      <c r="M176" s="2660">
        <v>1</v>
      </c>
      <c r="N176" s="378" t="s">
        <v>6564</v>
      </c>
      <c r="O176" s="2587"/>
      <c r="P176" s="3006"/>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3988</v>
      </c>
      <c r="D178" s="33"/>
      <c r="F178" s="1275"/>
      <c r="K178" s="985"/>
      <c r="L178" s="367" t="str">
        <f>IF(OR($O178=$M178,$O178=0,$O178=""),"","* * Check Score! * *")</f>
        <v/>
      </c>
      <c r="M178" s="417">
        <v>2</v>
      </c>
      <c r="N178" s="64" t="s">
        <v>1895</v>
      </c>
      <c r="O178" s="2573"/>
      <c r="P178" s="3007"/>
      <c r="Q178" s="895" t="str">
        <f>IF(OR($O178=$M178,$O178=0,$O178=""),"","*CHECK!*")</f>
        <v/>
      </c>
      <c r="R178" s="892" t="s">
        <v>4265</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21.75" customHeight="1" thickTop="1" thickBot="1">
      <c r="A180" s="4209" t="s">
        <v>931</v>
      </c>
      <c r="B180" s="4210"/>
      <c r="C180" s="4210"/>
      <c r="D180" s="4210"/>
      <c r="E180" s="4210"/>
      <c r="F180" s="4210"/>
      <c r="G180" s="4210"/>
      <c r="H180" s="4210"/>
      <c r="I180" s="4210"/>
      <c r="J180" s="4210"/>
      <c r="K180" s="4210"/>
      <c r="L180" s="4210"/>
      <c r="M180" s="4210"/>
      <c r="N180" s="4210"/>
      <c r="O180" s="4210"/>
      <c r="P180" s="4211"/>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58"/>
      <c r="B182" s="4159"/>
      <c r="C182" s="4159"/>
      <c r="D182" s="4159"/>
      <c r="E182" s="4159"/>
      <c r="F182" s="4159"/>
      <c r="G182" s="4159"/>
      <c r="H182" s="4159"/>
      <c r="I182" s="4159"/>
      <c r="J182" s="4159"/>
      <c r="K182" s="4159"/>
      <c r="L182" s="4159"/>
      <c r="M182" s="4159"/>
      <c r="N182" s="4159"/>
      <c r="O182" s="4159"/>
      <c r="P182" s="4160"/>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3488</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3828</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6550</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37"/>
    </row>
    <row r="188" spans="1:23" s="1407" customFormat="1" ht="12.75" customHeight="1">
      <c r="B188" s="423" t="s">
        <v>1896</v>
      </c>
      <c r="C188" s="4219" t="s">
        <v>6467</v>
      </c>
      <c r="D188" s="4219"/>
      <c r="E188" s="4219"/>
      <c r="F188" s="4219"/>
      <c r="G188" s="4219"/>
      <c r="H188" s="4219"/>
      <c r="I188" s="4219"/>
      <c r="J188" s="4219"/>
      <c r="K188" s="4219"/>
      <c r="L188" s="4219"/>
      <c r="M188" s="966" t="s">
        <v>719</v>
      </c>
      <c r="N188" s="381" t="s">
        <v>1896</v>
      </c>
      <c r="O188" s="2502"/>
      <c r="P188" s="2967"/>
      <c r="Q188" s="1013"/>
      <c r="V188" s="1669"/>
      <c r="W188" s="1669"/>
    </row>
    <row r="189" spans="1:23" s="33" customFormat="1" ht="12.75" customHeight="1">
      <c r="A189" s="478"/>
      <c r="B189" s="423" t="s">
        <v>1898</v>
      </c>
      <c r="C189" s="419" t="s">
        <v>6468</v>
      </c>
      <c r="D189" s="848"/>
      <c r="E189" s="848"/>
      <c r="F189" s="848"/>
      <c r="G189" s="848"/>
      <c r="H189" s="848"/>
      <c r="I189" s="848"/>
      <c r="J189" s="848"/>
      <c r="K189" s="848"/>
      <c r="L189" s="848"/>
      <c r="M189" s="848"/>
      <c r="N189" s="381" t="s">
        <v>1898</v>
      </c>
      <c r="O189" s="2666"/>
      <c r="P189" s="2953"/>
      <c r="Q189" s="901"/>
      <c r="V189" s="1008"/>
      <c r="W189" s="1008"/>
    </row>
    <row r="190" spans="1:23" s="33" customFormat="1" ht="22.5" customHeight="1">
      <c r="A190" s="478"/>
      <c r="B190" s="423" t="s">
        <v>2416</v>
      </c>
      <c r="C190" s="4241" t="s">
        <v>6471</v>
      </c>
      <c r="D190" s="4241"/>
      <c r="E190" s="4241"/>
      <c r="F190" s="4241"/>
      <c r="G190" s="4241"/>
      <c r="H190" s="4241"/>
      <c r="I190" s="4241"/>
      <c r="J190" s="4241"/>
      <c r="K190" s="4241"/>
      <c r="L190" s="4241"/>
      <c r="M190" s="899"/>
      <c r="N190" s="381" t="s">
        <v>2416</v>
      </c>
      <c r="O190" s="2658"/>
      <c r="P190" s="2962"/>
      <c r="Q190" s="901"/>
      <c r="V190" s="1008"/>
      <c r="W190" s="1008"/>
    </row>
    <row r="191" spans="1:23" ht="11.45" customHeight="1">
      <c r="A191" s="137" t="s">
        <v>2021</v>
      </c>
      <c r="B191" s="175" t="s">
        <v>6469</v>
      </c>
      <c r="D191" s="33"/>
      <c r="G191" s="449"/>
      <c r="N191" s="27"/>
      <c r="O191" s="485"/>
      <c r="P191" s="485"/>
      <c r="Q191" s="2637"/>
    </row>
    <row r="192" spans="1:23" s="1407" customFormat="1" ht="23.25" customHeight="1">
      <c r="B192" s="423" t="s">
        <v>1896</v>
      </c>
      <c r="C192" s="4219" t="s">
        <v>6472</v>
      </c>
      <c r="D192" s="4219"/>
      <c r="E192" s="4219"/>
      <c r="F192" s="4219"/>
      <c r="G192" s="4219"/>
      <c r="H192" s="4219"/>
      <c r="I192" s="4219"/>
      <c r="J192" s="4219"/>
      <c r="K192" s="4219"/>
      <c r="L192" s="4219"/>
      <c r="M192" s="966" t="s">
        <v>2021</v>
      </c>
      <c r="N192" s="381" t="s">
        <v>1896</v>
      </c>
      <c r="O192" s="2502"/>
      <c r="P192" s="2967"/>
      <c r="Q192" s="1013"/>
      <c r="V192" s="1669"/>
      <c r="W192" s="1669"/>
    </row>
    <row r="193" spans="1:24" s="33" customFormat="1" ht="23.25" customHeight="1">
      <c r="A193" s="478"/>
      <c r="B193" s="423" t="s">
        <v>1898</v>
      </c>
      <c r="C193" s="4241" t="s">
        <v>6551</v>
      </c>
      <c r="D193" s="4241"/>
      <c r="E193" s="4241"/>
      <c r="F193" s="4241"/>
      <c r="G193" s="4241"/>
      <c r="H193" s="4241"/>
      <c r="I193" s="4241"/>
      <c r="J193" s="4241"/>
      <c r="K193" s="4241"/>
      <c r="L193" s="4241"/>
      <c r="M193" s="848"/>
      <c r="N193" s="381" t="s">
        <v>1898</v>
      </c>
      <c r="O193" s="2658"/>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247" t="s">
        <v>931</v>
      </c>
      <c r="B195" s="4248"/>
      <c r="C195" s="4248"/>
      <c r="D195" s="4248"/>
      <c r="E195" s="4248"/>
      <c r="F195" s="4248"/>
      <c r="G195" s="4248"/>
      <c r="H195" s="4248"/>
      <c r="I195" s="4248"/>
      <c r="J195" s="4248"/>
      <c r="K195" s="4248"/>
      <c r="L195" s="4248"/>
      <c r="M195" s="4248"/>
      <c r="N195" s="4248"/>
      <c r="O195" s="4248"/>
      <c r="P195" s="4249"/>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44"/>
      <c r="B197" s="4245"/>
      <c r="C197" s="4245"/>
      <c r="D197" s="4245"/>
      <c r="E197" s="4245"/>
      <c r="F197" s="4245"/>
      <c r="G197" s="4245"/>
      <c r="H197" s="4245"/>
      <c r="I197" s="4245"/>
      <c r="J197" s="4245"/>
      <c r="K197" s="4245"/>
      <c r="L197" s="4245"/>
      <c r="M197" s="4245"/>
      <c r="N197" s="4245"/>
      <c r="O197" s="4245"/>
      <c r="P197" s="4246"/>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7</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3989</v>
      </c>
      <c r="C201" s="91"/>
      <c r="D201" s="59"/>
      <c r="E201" s="59"/>
      <c r="K201" s="1405"/>
      <c r="M201" s="967">
        <v>5</v>
      </c>
      <c r="N201" s="378" t="s">
        <v>1893</v>
      </c>
      <c r="O201" s="2573">
        <v>4</v>
      </c>
      <c r="P201" s="3007"/>
      <c r="Q201" s="1295" t="str">
        <f>IF(O201&lt;=M201,"","*CHECK!*")</f>
        <v/>
      </c>
      <c r="R201" s="892" t="s">
        <v>4265</v>
      </c>
      <c r="S201" s="1714"/>
      <c r="T201" s="1714"/>
      <c r="U201" s="1714"/>
    </row>
    <row r="202" spans="1:24" ht="12.75" customHeight="1">
      <c r="B202" s="2589"/>
      <c r="C202" s="133" t="s">
        <v>6552</v>
      </c>
      <c r="D202" s="2590"/>
      <c r="E202" s="2591"/>
      <c r="F202" s="2591"/>
      <c r="G202" s="2590"/>
      <c r="H202" s="2590"/>
      <c r="I202" s="2590"/>
      <c r="J202" s="4237" t="s">
        <v>6941</v>
      </c>
      <c r="K202" s="4238"/>
      <c r="L202" s="4239"/>
      <c r="M202" s="4240"/>
      <c r="N202" s="967"/>
      <c r="R202" s="416"/>
      <c r="S202" s="2590"/>
    </row>
    <row r="203" spans="1:24" ht="12.75" customHeight="1">
      <c r="C203" s="2592" t="s">
        <v>6553</v>
      </c>
      <c r="D203" s="418"/>
      <c r="J203" s="4234"/>
      <c r="K203" s="4235"/>
      <c r="L203" s="4235"/>
      <c r="M203" s="423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6473</v>
      </c>
      <c r="C205" s="52"/>
      <c r="E205" s="532"/>
      <c r="G205" s="2670" t="s">
        <v>6534</v>
      </c>
      <c r="H205" s="2593">
        <v>2019</v>
      </c>
      <c r="K205" s="378"/>
      <c r="L205" s="378"/>
      <c r="M205" s="967">
        <v>5</v>
      </c>
      <c r="N205" s="378" t="s">
        <v>1895</v>
      </c>
      <c r="O205" s="2573">
        <v>3</v>
      </c>
      <c r="P205" s="3007"/>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233" t="s">
        <v>6478</v>
      </c>
      <c r="G207" s="4233"/>
      <c r="H207" s="4233"/>
      <c r="I207" s="4233"/>
      <c r="J207" s="4233"/>
      <c r="K207" s="4233"/>
      <c r="L207" s="4233"/>
      <c r="M207" s="418"/>
      <c r="N207" s="27"/>
      <c r="O207" s="27"/>
      <c r="P207" s="27"/>
    </row>
    <row r="208" spans="1:24" ht="13.5" customHeight="1">
      <c r="B208" s="484"/>
      <c r="C208" s="418"/>
      <c r="D208" s="133" t="s">
        <v>6476</v>
      </c>
      <c r="E208" s="133"/>
      <c r="F208" s="4261" t="s">
        <v>6942</v>
      </c>
      <c r="G208" s="4262"/>
      <c r="H208" s="4262"/>
      <c r="I208" s="4263"/>
      <c r="J208" s="4230"/>
      <c r="K208" s="4231"/>
      <c r="L208" s="4231"/>
      <c r="M208" s="4232"/>
      <c r="N208" s="27"/>
    </row>
    <row r="209" spans="1:22" ht="13.5" customHeight="1">
      <c r="C209" s="418"/>
      <c r="D209" s="133" t="s">
        <v>6477</v>
      </c>
      <c r="E209" s="133"/>
      <c r="F209" s="4257" t="s">
        <v>6942</v>
      </c>
      <c r="G209" s="4258"/>
      <c r="H209" s="4258"/>
      <c r="I209" s="4259"/>
      <c r="J209" s="4227"/>
      <c r="K209" s="4228"/>
      <c r="L209" s="4228"/>
      <c r="M209" s="4229"/>
      <c r="N209" s="2599" t="str">
        <f>IF(P205&lt;=N205,"","*CHECK!*")</f>
        <v/>
      </c>
    </row>
    <row r="210" spans="1:22" ht="13.5" customHeight="1">
      <c r="B210" s="484"/>
      <c r="C210" s="418"/>
      <c r="D210" s="133" t="s">
        <v>6474</v>
      </c>
      <c r="E210" s="133"/>
      <c r="F210" s="4257"/>
      <c r="G210" s="4258"/>
      <c r="H210" s="4258"/>
      <c r="I210" s="4259"/>
      <c r="J210" s="4227"/>
      <c r="K210" s="4228"/>
      <c r="L210" s="4228"/>
      <c r="M210" s="4229"/>
      <c r="N210" s="27"/>
    </row>
    <row r="211" spans="1:22" ht="13.5" customHeight="1">
      <c r="B211" s="418"/>
      <c r="C211" s="418"/>
      <c r="D211" s="133" t="s">
        <v>6475</v>
      </c>
      <c r="E211" s="133"/>
      <c r="F211" s="4254" t="s">
        <v>6943</v>
      </c>
      <c r="G211" s="4255"/>
      <c r="H211" s="4255"/>
      <c r="I211" s="4256"/>
      <c r="J211" s="4267"/>
      <c r="K211" s="4268"/>
      <c r="L211" s="4268"/>
      <c r="M211" s="426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09" t="s">
        <v>6983</v>
      </c>
      <c r="B215" s="4210"/>
      <c r="C215" s="4210"/>
      <c r="D215" s="4210"/>
      <c r="E215" s="4210"/>
      <c r="F215" s="4210"/>
      <c r="G215" s="4210"/>
      <c r="H215" s="4210"/>
      <c r="I215" s="4210"/>
      <c r="J215" s="4210"/>
      <c r="K215" s="4210"/>
      <c r="L215" s="4210"/>
      <c r="M215" s="4210"/>
      <c r="N215" s="4210"/>
      <c r="O215" s="4210"/>
      <c r="P215" s="4211"/>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44"/>
      <c r="B218" s="4245"/>
      <c r="C218" s="4245"/>
      <c r="D218" s="4245"/>
      <c r="E218" s="4245"/>
      <c r="F218" s="4245"/>
      <c r="G218" s="4245"/>
      <c r="H218" s="4245"/>
      <c r="I218" s="4245"/>
      <c r="J218" s="4245"/>
      <c r="K218" s="4245"/>
      <c r="L218" s="4245"/>
      <c r="M218" s="4245"/>
      <c r="N218" s="4245"/>
      <c r="O218" s="4245"/>
      <c r="P218" s="4246"/>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0" t="s">
        <v>3274</v>
      </c>
      <c r="H221" s="1277">
        <f>IF('Part VI-Revenues &amp; Expenses'!$P$67=0,0,'Part VI-Revenues &amp; Expenses'!$P$64/'Part VI-Revenues &amp; Expenses'!$P$67)</f>
        <v>0</v>
      </c>
      <c r="J221" s="449" t="s">
        <v>4162</v>
      </c>
      <c r="K221" s="4350" t="str">
        <f>'Part I-Project Information'!$K$94</f>
        <v>Income Averaging</v>
      </c>
      <c r="L221" s="4351"/>
      <c r="M221" s="60"/>
      <c r="N221" s="777"/>
      <c r="O221" s="2652"/>
      <c r="P221" s="3"/>
    </row>
    <row r="222" spans="1:22" ht="12" customHeight="1">
      <c r="A222" s="1401" t="s">
        <v>1893</v>
      </c>
      <c r="B222" s="1404" t="s">
        <v>4160</v>
      </c>
      <c r="C222" s="404"/>
      <c r="D222" s="418" t="s">
        <v>4161</v>
      </c>
      <c r="M222" s="72">
        <v>1</v>
      </c>
      <c r="N222" s="439" t="s">
        <v>1893</v>
      </c>
      <c r="O222" s="2600"/>
      <c r="P222" s="3009"/>
      <c r="Q222" s="895" t="str">
        <f>IF(OR($O222=$M222,$O222=0,$O222=""),"","*CHECK!*")</f>
        <v/>
      </c>
      <c r="R222" s="892" t="s">
        <v>4265</v>
      </c>
    </row>
    <row r="223" spans="1:22" ht="12" customHeight="1">
      <c r="A223" s="1401" t="s">
        <v>1895</v>
      </c>
      <c r="B223" s="1404" t="s">
        <v>3977</v>
      </c>
      <c r="C223" s="404"/>
      <c r="D223" s="418" t="s">
        <v>4244</v>
      </c>
      <c r="M223" s="80">
        <v>1</v>
      </c>
      <c r="N223" s="439" t="s">
        <v>1895</v>
      </c>
      <c r="O223" s="2564">
        <v>1</v>
      </c>
      <c r="P223" s="2990"/>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44"/>
      <c r="B226" s="4245"/>
      <c r="C226" s="4245"/>
      <c r="D226" s="4245"/>
      <c r="E226" s="4245"/>
      <c r="F226" s="4245"/>
      <c r="G226" s="4245"/>
      <c r="H226" s="4245"/>
      <c r="I226" s="4245"/>
      <c r="J226" s="4245"/>
      <c r="K226" s="4245"/>
      <c r="L226" s="4245"/>
      <c r="M226" s="4245"/>
      <c r="N226" s="4245"/>
      <c r="O226" s="4245"/>
      <c r="P226" s="4246"/>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3489</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252"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252"/>
      <c r="N231" s="439" t="s">
        <v>1895</v>
      </c>
      <c r="O231" s="2671"/>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9" t="s">
        <v>931</v>
      </c>
      <c r="B233" s="4210"/>
      <c r="C233" s="4210"/>
      <c r="D233" s="4210"/>
      <c r="E233" s="4210"/>
      <c r="F233" s="4210"/>
      <c r="G233" s="4210"/>
      <c r="H233" s="4210"/>
      <c r="I233" s="4210"/>
      <c r="J233" s="4210"/>
      <c r="K233" s="4210"/>
      <c r="L233" s="4210"/>
      <c r="M233" s="4210"/>
      <c r="N233" s="4210"/>
      <c r="O233" s="4210"/>
      <c r="P233" s="4211"/>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44"/>
      <c r="B235" s="4245"/>
      <c r="C235" s="4245"/>
      <c r="D235" s="4245"/>
      <c r="E235" s="4245"/>
      <c r="F235" s="4245"/>
      <c r="G235" s="4245"/>
      <c r="H235" s="4245"/>
      <c r="I235" s="4245"/>
      <c r="J235" s="4245"/>
      <c r="K235" s="4245"/>
      <c r="L235" s="4245"/>
      <c r="M235" s="4245"/>
      <c r="N235" s="4245"/>
      <c r="O235" s="4245"/>
      <c r="P235" s="4246"/>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48">
        <v>3</v>
      </c>
      <c r="N237" s="6"/>
      <c r="O237" s="944"/>
      <c r="P237" s="965"/>
      <c r="Q237" s="108" t="s">
        <v>422</v>
      </c>
      <c r="R237" s="892" t="s">
        <v>4265</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3454</v>
      </c>
      <c r="G239" s="2601"/>
      <c r="H239" s="378" t="s">
        <v>587</v>
      </c>
      <c r="I239" s="4304"/>
      <c r="J239" s="4304"/>
      <c r="L239" s="2602" t="s">
        <v>6557</v>
      </c>
      <c r="M239" s="4424"/>
      <c r="N239" s="4424"/>
    </row>
    <row r="240" spans="1:27" s="116" customFormat="1" ht="11.25" customHeight="1">
      <c r="A240" s="365"/>
      <c r="B240" s="423" t="s">
        <v>1898</v>
      </c>
      <c r="C240" s="133" t="s">
        <v>6556</v>
      </c>
      <c r="E240" s="419" t="s">
        <v>3454</v>
      </c>
      <c r="G240" s="2603"/>
      <c r="H240" s="378" t="s">
        <v>587</v>
      </c>
      <c r="I240" s="4253"/>
      <c r="J240" s="4253"/>
      <c r="L240" s="2602" t="s">
        <v>6557</v>
      </c>
      <c r="M240" s="4260"/>
      <c r="N240" s="4260"/>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09" t="s">
        <v>931</v>
      </c>
      <c r="B243" s="4210"/>
      <c r="C243" s="4210"/>
      <c r="D243" s="4210"/>
      <c r="E243" s="4210"/>
      <c r="F243" s="4210"/>
      <c r="G243" s="4210"/>
      <c r="H243" s="4210"/>
      <c r="I243" s="4210"/>
      <c r="J243" s="4210"/>
      <c r="K243" s="4210"/>
      <c r="L243" s="4210"/>
      <c r="M243" s="4210"/>
      <c r="N243" s="4210"/>
      <c r="O243" s="4210"/>
      <c r="P243" s="4211"/>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58"/>
      <c r="B245" s="4159"/>
      <c r="C245" s="4159"/>
      <c r="D245" s="4159"/>
      <c r="E245" s="4159"/>
      <c r="F245" s="4159"/>
      <c r="G245" s="4159"/>
      <c r="H245" s="4159"/>
      <c r="I245" s="4159"/>
      <c r="J245" s="4159"/>
      <c r="K245" s="4159"/>
      <c r="L245" s="4159"/>
      <c r="M245" s="4159"/>
      <c r="N245" s="4159"/>
      <c r="O245" s="4159"/>
      <c r="P245" s="4160"/>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4163</v>
      </c>
      <c r="D247" s="41"/>
      <c r="E247" s="55" t="s">
        <v>6568</v>
      </c>
      <c r="G247" s="61"/>
      <c r="M247" s="2648">
        <v>5</v>
      </c>
      <c r="N247" s="6"/>
      <c r="O247" s="944">
        <f>MIN($M247,MAX(O248,O249,O250))</f>
        <v>4</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6567</v>
      </c>
      <c r="D248" s="532"/>
      <c r="M248" s="7">
        <v>5</v>
      </c>
      <c r="N248" s="439" t="s">
        <v>1893</v>
      </c>
      <c r="O248" s="2604">
        <v>4</v>
      </c>
      <c r="P248" s="3010"/>
      <c r="Q248" s="895" t="str">
        <f>IF(OR($O248=$M248,$O248=$M248-1,$O248=0,$O248=""),"","*CHECK!*")</f>
        <v/>
      </c>
      <c r="R248" s="892" t="s">
        <v>4265</v>
      </c>
      <c r="S248" s="1724"/>
      <c r="T248" s="1724"/>
      <c r="U248" s="1724"/>
      <c r="V248" s="1724"/>
    </row>
    <row r="249" spans="1:24" s="33" customFormat="1" ht="11.25" customHeight="1">
      <c r="A249" s="137" t="s">
        <v>1895</v>
      </c>
      <c r="B249" s="175" t="s">
        <v>6569</v>
      </c>
      <c r="D249" s="532"/>
      <c r="M249" s="7">
        <v>3</v>
      </c>
      <c r="N249" s="439" t="s">
        <v>1895</v>
      </c>
      <c r="O249" s="2563"/>
      <c r="P249" s="2989"/>
      <c r="Q249" s="895" t="str">
        <f>IF(OR($O249=$M249,$O249=$M249-1,$O249=0,$O249=""),"","*CHECK!*")</f>
        <v/>
      </c>
      <c r="R249" s="892" t="s">
        <v>4265</v>
      </c>
    </row>
    <row r="250" spans="1:24">
      <c r="A250" s="137" t="s">
        <v>719</v>
      </c>
      <c r="B250" s="175" t="s">
        <v>6570</v>
      </c>
      <c r="E250" s="40" t="s">
        <v>6498</v>
      </c>
      <c r="I250" s="1406"/>
      <c r="L250" s="1675"/>
      <c r="M250" s="7">
        <v>3</v>
      </c>
      <c r="N250" s="439" t="s">
        <v>719</v>
      </c>
      <c r="O250" s="2564"/>
      <c r="P250" s="2990"/>
      <c r="Q250" s="895" t="str">
        <f>IF(OR($O250=$M250,$O250=$M250-1,$O250=0,$O250=""),"","*CHECK!*")</f>
        <v/>
      </c>
      <c r="R250" s="892" t="s">
        <v>4265</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09" t="s">
        <v>6945</v>
      </c>
      <c r="B252" s="4210"/>
      <c r="C252" s="4210"/>
      <c r="D252" s="4210"/>
      <c r="E252" s="4210"/>
      <c r="F252" s="4210"/>
      <c r="G252" s="4210"/>
      <c r="H252" s="4210"/>
      <c r="I252" s="4210"/>
      <c r="J252" s="4210"/>
      <c r="K252" s="4210"/>
      <c r="L252" s="4210"/>
      <c r="M252" s="4210"/>
      <c r="N252" s="4210"/>
      <c r="O252" s="4210"/>
      <c r="P252" s="4211"/>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58"/>
      <c r="B254" s="4159"/>
      <c r="C254" s="4159"/>
      <c r="D254" s="4159"/>
      <c r="E254" s="4159"/>
      <c r="F254" s="4159"/>
      <c r="G254" s="4159"/>
      <c r="H254" s="4159"/>
      <c r="I254" s="4159"/>
      <c r="J254" s="4159"/>
      <c r="K254" s="4159"/>
      <c r="L254" s="4159"/>
      <c r="M254" s="4159"/>
      <c r="N254" s="4159"/>
      <c r="O254" s="4159"/>
      <c r="P254" s="4160"/>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4266</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3992</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3993</v>
      </c>
      <c r="D259" s="61"/>
      <c r="E259" s="61"/>
      <c r="F259" s="44"/>
      <c r="G259" s="27"/>
      <c r="L259" s="367"/>
      <c r="M259" s="7">
        <v>2</v>
      </c>
      <c r="N259" s="779" t="s">
        <v>1898</v>
      </c>
      <c r="O259" s="2666"/>
      <c r="P259" s="2953"/>
      <c r="Q259" s="895"/>
      <c r="R259" s="943"/>
      <c r="T259" s="929"/>
      <c r="U259" s="929"/>
    </row>
    <row r="260" spans="1:21" s="101" customFormat="1" ht="10.5" customHeight="1">
      <c r="A260" s="137"/>
      <c r="B260" s="423" t="s">
        <v>2416</v>
      </c>
      <c r="C260" s="40" t="s">
        <v>3994</v>
      </c>
      <c r="D260" s="61"/>
      <c r="E260" s="61"/>
      <c r="F260" s="44"/>
      <c r="G260" s="27"/>
      <c r="K260" s="439"/>
      <c r="M260" s="7">
        <v>1</v>
      </c>
      <c r="N260" s="779" t="s">
        <v>2416</v>
      </c>
      <c r="O260" s="2671"/>
      <c r="P260" s="2954"/>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69" t="s">
        <v>4155</v>
      </c>
      <c r="C262" s="3969"/>
      <c r="D262" s="3969"/>
      <c r="E262" s="3969"/>
      <c r="F262" s="3969"/>
      <c r="G262" s="3969"/>
      <c r="H262" s="3969"/>
      <c r="I262" s="3969"/>
      <c r="J262" s="3969"/>
      <c r="K262" s="3969"/>
      <c r="L262" s="3969"/>
      <c r="M262" s="7"/>
      <c r="N262" s="439"/>
      <c r="O262" s="2662"/>
      <c r="P262" s="30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9" t="s">
        <v>6499</v>
      </c>
      <c r="C264" s="3949"/>
      <c r="D264" s="3949"/>
      <c r="E264" s="3949"/>
      <c r="F264" s="3949"/>
      <c r="G264" s="3949"/>
      <c r="H264" s="3949"/>
      <c r="I264" s="3949"/>
      <c r="J264" s="3949"/>
      <c r="K264" s="3949"/>
      <c r="L264" s="3949"/>
      <c r="M264" s="7"/>
      <c r="N264" s="439"/>
      <c r="O264" s="2658" t="s">
        <v>2769</v>
      </c>
      <c r="P264" s="2962"/>
      <c r="Q264" s="380"/>
      <c r="R264" s="367"/>
      <c r="T264" s="929"/>
      <c r="U264" s="929"/>
    </row>
    <row r="265" spans="1:21" s="43" customFormat="1" ht="22.5" customHeight="1">
      <c r="B265" s="3949" t="s">
        <v>6500</v>
      </c>
      <c r="C265" s="3949"/>
      <c r="D265" s="3949"/>
      <c r="E265" s="3949"/>
      <c r="F265" s="3949"/>
      <c r="G265" s="3949"/>
      <c r="H265" s="3949"/>
      <c r="I265" s="3949"/>
      <c r="J265" s="3949"/>
      <c r="K265" s="3949"/>
      <c r="L265" s="3949"/>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58"/>
      <c r="B267" s="4159"/>
      <c r="C267" s="4159"/>
      <c r="D267" s="4159"/>
      <c r="E267" s="4159"/>
      <c r="F267" s="4159"/>
      <c r="G267" s="4159"/>
      <c r="H267" s="4159"/>
      <c r="I267" s="4159"/>
      <c r="J267" s="4159"/>
      <c r="K267" s="4159"/>
      <c r="L267" s="4159"/>
      <c r="M267" s="4159"/>
      <c r="N267" s="4159"/>
      <c r="O267" s="4159"/>
      <c r="P267" s="4160"/>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3521</v>
      </c>
      <c r="B269" s="105" t="s">
        <v>3490</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6501</v>
      </c>
      <c r="C270" s="2655"/>
      <c r="D270" s="2655"/>
      <c r="E270" s="2655"/>
      <c r="F270" s="2655"/>
      <c r="G270" s="2655"/>
      <c r="H270" s="2655"/>
      <c r="I270" s="2655"/>
      <c r="J270" s="2655"/>
      <c r="K270" s="2655"/>
      <c r="L270" s="1276"/>
      <c r="M270" s="777"/>
      <c r="N270" s="74"/>
      <c r="O270" s="2493"/>
      <c r="P270" s="3008"/>
      <c r="Q270" s="108"/>
      <c r="T270" s="929"/>
      <c r="U270" s="929"/>
    </row>
    <row r="271" spans="1:21" s="43" customFormat="1" ht="12" customHeight="1">
      <c r="A271" s="137" t="s">
        <v>1893</v>
      </c>
      <c r="B271" s="163" t="s">
        <v>3491</v>
      </c>
      <c r="C271" s="87"/>
      <c r="D271" s="58"/>
      <c r="E271" s="52"/>
      <c r="G271" s="1509">
        <f>'Part VIII-Threshold Criteria'!I380</f>
        <v>0</v>
      </c>
      <c r="I271" s="40" t="s">
        <v>4286</v>
      </c>
      <c r="K271" s="1676" t="str">
        <f>'Part I-Project Information'!H100</f>
        <v>No</v>
      </c>
      <c r="M271" s="72">
        <v>2</v>
      </c>
      <c r="N271" s="439" t="s">
        <v>1893</v>
      </c>
      <c r="P271" s="3012"/>
      <c r="Q271" s="108"/>
      <c r="R271" s="943" t="s">
        <v>2554</v>
      </c>
    </row>
    <row r="272" spans="1:21" s="101" customFormat="1" ht="10.5" customHeight="1">
      <c r="A272" s="137"/>
      <c r="B272" s="365" t="s">
        <v>1896</v>
      </c>
      <c r="C272" s="36" t="s">
        <v>4018</v>
      </c>
      <c r="D272" s="33"/>
      <c r="N272" s="421" t="s">
        <v>4019</v>
      </c>
      <c r="O272" s="2492"/>
      <c r="P272" s="2952"/>
      <c r="R272" s="367"/>
    </row>
    <row r="273" spans="1:19" s="101" customFormat="1" ht="10.5" customHeight="1">
      <c r="A273" s="137"/>
      <c r="B273" s="365"/>
      <c r="C273" s="36" t="s">
        <v>6502</v>
      </c>
      <c r="D273" s="33"/>
      <c r="N273" s="421" t="s">
        <v>4020</v>
      </c>
      <c r="O273" s="2666"/>
      <c r="P273" s="2953"/>
      <c r="R273" s="367"/>
    </row>
    <row r="274" spans="1:19" s="101" customFormat="1" ht="10.5" customHeight="1">
      <c r="A274" s="137"/>
      <c r="B274" s="365" t="s">
        <v>1898</v>
      </c>
      <c r="C274" s="36" t="s">
        <v>3497</v>
      </c>
      <c r="D274" s="33"/>
      <c r="N274" s="779" t="s">
        <v>1898</v>
      </c>
      <c r="O274" s="2666"/>
      <c r="P274" s="2953"/>
      <c r="R274" s="367"/>
    </row>
    <row r="275" spans="1:19" s="101" customFormat="1" ht="10.5" customHeight="1">
      <c r="A275" s="137"/>
      <c r="B275" s="365" t="s">
        <v>2416</v>
      </c>
      <c r="C275" s="36" t="s">
        <v>4021</v>
      </c>
      <c r="D275" s="33"/>
      <c r="N275" s="779" t="s">
        <v>2416</v>
      </c>
      <c r="O275" s="2666"/>
      <c r="P275" s="2953"/>
      <c r="R275" s="367"/>
    </row>
    <row r="276" spans="1:19" s="101" customFormat="1" ht="10.5" customHeight="1">
      <c r="B276" s="365" t="s">
        <v>1178</v>
      </c>
      <c r="C276" s="36" t="s">
        <v>3498</v>
      </c>
      <c r="D276" s="33"/>
      <c r="N276" s="779" t="s">
        <v>1178</v>
      </c>
      <c r="O276" s="2671"/>
      <c r="P276" s="2953"/>
      <c r="R276" s="367"/>
    </row>
    <row r="277" spans="1:19" s="43" customFormat="1" ht="12" customHeight="1">
      <c r="A277" s="137" t="s">
        <v>1895</v>
      </c>
      <c r="B277" s="163" t="s">
        <v>3492</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4018</v>
      </c>
      <c r="D278" s="52"/>
      <c r="E278" s="52"/>
      <c r="M278" s="2648"/>
      <c r="N278" s="421" t="s">
        <v>4019</v>
      </c>
      <c r="O278" s="2492"/>
      <c r="P278" s="2952"/>
      <c r="Q278" s="108"/>
    </row>
    <row r="279" spans="1:19" s="101" customFormat="1" ht="10.5" customHeight="1">
      <c r="A279" s="137"/>
      <c r="B279" s="365"/>
      <c r="C279" s="36" t="s">
        <v>6503</v>
      </c>
      <c r="D279" s="33"/>
      <c r="N279" s="421" t="s">
        <v>4020</v>
      </c>
      <c r="O279" s="2666"/>
      <c r="P279" s="2953"/>
      <c r="R279" s="367"/>
    </row>
    <row r="280" spans="1:19" s="101" customFormat="1" ht="10.5" customHeight="1">
      <c r="A280" s="137"/>
      <c r="B280" s="365" t="s">
        <v>1898</v>
      </c>
      <c r="C280" s="36" t="s">
        <v>3509</v>
      </c>
      <c r="D280" s="33"/>
      <c r="N280" s="779" t="s">
        <v>1898</v>
      </c>
      <c r="O280" s="2666"/>
      <c r="P280" s="2953"/>
      <c r="R280" s="367"/>
    </row>
    <row r="281" spans="1:19" s="101" customFormat="1" ht="10.5" customHeight="1">
      <c r="B281" s="365" t="s">
        <v>2416</v>
      </c>
      <c r="C281" s="36" t="s">
        <v>3498</v>
      </c>
      <c r="D281" s="33"/>
      <c r="N281" s="779" t="s">
        <v>2416</v>
      </c>
      <c r="O281" s="2671"/>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58"/>
      <c r="B283" s="4159"/>
      <c r="C283" s="4159"/>
      <c r="D283" s="4159"/>
      <c r="E283" s="4159"/>
      <c r="F283" s="4159"/>
      <c r="G283" s="4159"/>
      <c r="H283" s="4159"/>
      <c r="I283" s="4159"/>
      <c r="J283" s="4159"/>
      <c r="K283" s="4159"/>
      <c r="L283" s="4159"/>
      <c r="M283" s="4159"/>
      <c r="N283" s="4159"/>
      <c r="O283" s="4159"/>
      <c r="P283" s="4160"/>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3522</v>
      </c>
      <c r="B286" s="104" t="s">
        <v>1597</v>
      </c>
      <c r="D286" s="88"/>
      <c r="E286" s="88"/>
      <c r="G286" s="52"/>
      <c r="M286" s="777">
        <v>2</v>
      </c>
      <c r="N286" s="386"/>
      <c r="O286" s="2605">
        <v>2</v>
      </c>
      <c r="P286" s="965"/>
      <c r="Q286" s="108" t="s">
        <v>422</v>
      </c>
      <c r="R286" s="1725" t="s">
        <v>4265</v>
      </c>
      <c r="S286" s="1725"/>
    </row>
    <row r="287" spans="1:19" s="43" customFormat="1" ht="11.25" customHeight="1">
      <c r="A287" s="137"/>
      <c r="B287" s="112" t="s">
        <v>3275</v>
      </c>
      <c r="D287" s="88"/>
      <c r="E287" s="88"/>
      <c r="G287" s="52"/>
      <c r="I287" s="3813" t="s">
        <v>6864</v>
      </c>
      <c r="J287" s="3814"/>
      <c r="K287" s="3814"/>
      <c r="L287" s="381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10.9" customHeight="1" thickTop="1" thickBot="1">
      <c r="A290" s="4209" t="s">
        <v>6944</v>
      </c>
      <c r="B290" s="4210"/>
      <c r="C290" s="4210"/>
      <c r="D290" s="4210"/>
      <c r="E290" s="4210"/>
      <c r="F290" s="4210"/>
      <c r="G290" s="4210"/>
      <c r="H290" s="4210"/>
      <c r="I290" s="4210"/>
      <c r="J290" s="4210"/>
      <c r="K290" s="4210"/>
      <c r="L290" s="4210"/>
      <c r="M290" s="4210"/>
      <c r="N290" s="4210"/>
      <c r="O290" s="4210"/>
      <c r="P290" s="4211"/>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58"/>
      <c r="B292" s="4159"/>
      <c r="C292" s="4159"/>
      <c r="D292" s="4159"/>
      <c r="E292" s="4159"/>
      <c r="F292" s="4159"/>
      <c r="G292" s="4159"/>
      <c r="H292" s="4159"/>
      <c r="I292" s="4159"/>
      <c r="J292" s="4159"/>
      <c r="K292" s="4159"/>
      <c r="L292" s="4159"/>
      <c r="M292" s="4159"/>
      <c r="N292" s="4159"/>
      <c r="O292" s="4159"/>
      <c r="P292" s="4160"/>
      <c r="Q292" s="427"/>
    </row>
    <row r="293" spans="1:20" ht="3" customHeight="1" thickBot="1"/>
    <row r="294" spans="1:20" s="43" customFormat="1" ht="13.5" customHeight="1" thickBot="1">
      <c r="A294" s="151" t="s">
        <v>3520</v>
      </c>
      <c r="B294" s="104" t="s">
        <v>3494</v>
      </c>
      <c r="D294" s="88"/>
      <c r="E294" s="88"/>
      <c r="F294" s="52"/>
      <c r="G294" s="52"/>
      <c r="H294" s="52"/>
      <c r="M294" s="3">
        <v>4</v>
      </c>
      <c r="N294" s="6"/>
      <c r="O294" s="975">
        <f>O301+O321</f>
        <v>1</v>
      </c>
      <c r="P294" s="975">
        <f>P301+P321</f>
        <v>0</v>
      </c>
      <c r="Q294" s="108" t="s">
        <v>422</v>
      </c>
    </row>
    <row r="295" spans="1:20" s="43" customFormat="1" ht="10.5" customHeight="1">
      <c r="A295" s="42"/>
      <c r="B295" s="112" t="s">
        <v>3997</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50" t="str">
        <f>IF(OR(O296="No",O296="",O297="No",O297="",O298="No",O298="",O299="No",O299=""),"Unmet criterion results in no points!","")</f>
        <v/>
      </c>
      <c r="M296" s="4250"/>
      <c r="N296" s="366" t="s">
        <v>2324</v>
      </c>
      <c r="O296" s="2492" t="s">
        <v>2769</v>
      </c>
      <c r="P296" s="2952"/>
      <c r="R296" s="4243" t="str">
        <f>IF(OR(P296="No",P296="",P297="No",P297="",P298="No",P298="",P299="No",P299=""),"Unmet criterion results in no points!","")</f>
        <v>Unmet criterion results in no points!</v>
      </c>
      <c r="S296" s="4243" t="e">
        <f>IF(OR(V296="No",V296="",V297="No",V297="",V298="No",V298="",V299="No",V299="",#REF!="No",#REF!="",#REF!="No",#REF!=""),"Unmet criterion results in no points!","")</f>
        <v>#REF!</v>
      </c>
    </row>
    <row r="297" spans="1:20" s="99" customFormat="1" ht="12.75" customHeight="1">
      <c r="B297" s="366" t="s">
        <v>2325</v>
      </c>
      <c r="C297" s="133" t="s">
        <v>3410</v>
      </c>
      <c r="L297" s="4250"/>
      <c r="M297" s="4250"/>
      <c r="N297" s="366" t="s">
        <v>2325</v>
      </c>
      <c r="O297" s="2666" t="s">
        <v>2769</v>
      </c>
      <c r="P297" s="2953"/>
      <c r="R297" s="4243"/>
      <c r="S297" s="4243"/>
    </row>
    <row r="298" spans="1:20" s="99" customFormat="1" ht="12.75" customHeight="1">
      <c r="B298" s="366" t="s">
        <v>2326</v>
      </c>
      <c r="C298" s="133" t="s">
        <v>3409</v>
      </c>
      <c r="L298" s="4250"/>
      <c r="M298" s="4250"/>
      <c r="N298" s="366" t="s">
        <v>2326</v>
      </c>
      <c r="O298" s="2666" t="s">
        <v>2769</v>
      </c>
      <c r="P298" s="2953"/>
      <c r="R298" s="4243"/>
      <c r="S298" s="4243"/>
    </row>
    <row r="299" spans="1:20" s="99" customFormat="1" ht="33.75" customHeight="1">
      <c r="B299" s="379" t="s">
        <v>2327</v>
      </c>
      <c r="C299" s="4241" t="s">
        <v>3996</v>
      </c>
      <c r="D299" s="4241"/>
      <c r="E299" s="4241"/>
      <c r="F299" s="4241"/>
      <c r="G299" s="4241"/>
      <c r="H299" s="4241"/>
      <c r="I299" s="4241"/>
      <c r="J299" s="4241"/>
      <c r="K299" s="4241"/>
      <c r="L299" s="4241"/>
      <c r="M299" s="4241"/>
      <c r="N299" s="379" t="s">
        <v>2327</v>
      </c>
      <c r="O299" s="2658" t="s">
        <v>2769</v>
      </c>
      <c r="P299" s="2962"/>
    </row>
    <row r="300" spans="1:20" ht="3" customHeight="1">
      <c r="C300" s="4241"/>
      <c r="D300" s="4241"/>
      <c r="E300" s="4241"/>
      <c r="F300" s="4241"/>
      <c r="G300" s="4241"/>
      <c r="H300" s="4241"/>
      <c r="I300" s="4241"/>
      <c r="J300" s="4241"/>
      <c r="K300" s="4241"/>
      <c r="L300" s="4241"/>
      <c r="M300" s="4241"/>
    </row>
    <row r="301" spans="1:20" ht="12.75" customHeight="1">
      <c r="A301" s="911" t="s">
        <v>1893</v>
      </c>
      <c r="B301" s="175" t="s">
        <v>3495</v>
      </c>
      <c r="L301" s="367" t="str">
        <f>IF(O301&lt;=M301,"","* * Check Score! * *")</f>
        <v/>
      </c>
      <c r="M301" s="968">
        <v>3</v>
      </c>
      <c r="N301" s="439" t="s">
        <v>1893</v>
      </c>
      <c r="O301" s="2573">
        <v>1</v>
      </c>
      <c r="P301" s="3007"/>
      <c r="Q301" s="895" t="str">
        <f>IF(O301&lt;=M301,"","*CHECK!*")</f>
        <v/>
      </c>
      <c r="R301" s="4242" t="s">
        <v>4265</v>
      </c>
      <c r="S301" s="4242"/>
      <c r="T301" s="1498"/>
    </row>
    <row r="302" spans="1:20" ht="12.75" customHeight="1">
      <c r="A302" s="911"/>
      <c r="B302" s="533" t="s">
        <v>1896</v>
      </c>
      <c r="C302" s="898" t="s">
        <v>3999</v>
      </c>
      <c r="D302" s="898"/>
      <c r="E302" s="898"/>
      <c r="F302" s="898"/>
      <c r="G302" s="898"/>
      <c r="H302" s="898"/>
      <c r="I302" s="898"/>
      <c r="N302" s="27"/>
      <c r="O302" s="27"/>
      <c r="P302" s="27"/>
      <c r="R302" s="4242"/>
      <c r="S302" s="4242"/>
      <c r="T302" s="1498"/>
    </row>
    <row r="303" spans="1:20" ht="12.75" customHeight="1">
      <c r="A303" s="911"/>
      <c r="B303" s="423"/>
      <c r="C303" s="898" t="s">
        <v>3998</v>
      </c>
      <c r="D303" s="898"/>
      <c r="E303" s="898"/>
      <c r="F303" s="898"/>
      <c r="G303" s="898"/>
      <c r="H303" s="898"/>
      <c r="I303" s="898"/>
      <c r="J303" s="4251" t="s">
        <v>1900</v>
      </c>
      <c r="K303" s="4251"/>
      <c r="M303" s="4251" t="s">
        <v>1900</v>
      </c>
      <c r="N303" s="4251"/>
      <c r="O303" s="4251"/>
      <c r="P303" s="4251"/>
      <c r="R303" s="4242"/>
      <c r="S303" s="4242"/>
      <c r="T303" s="1498"/>
    </row>
    <row r="304" spans="1:20" s="43" customFormat="1" ht="12.75" customHeight="1">
      <c r="A304" s="173"/>
      <c r="B304" s="366" t="s">
        <v>2324</v>
      </c>
      <c r="C304" s="36" t="s">
        <v>1423</v>
      </c>
      <c r="I304" s="366" t="s">
        <v>2324</v>
      </c>
      <c r="J304" s="4410"/>
      <c r="K304" s="4411"/>
      <c r="L304" s="366" t="s">
        <v>2324</v>
      </c>
      <c r="M304" s="4264"/>
      <c r="N304" s="4265"/>
      <c r="O304" s="4265"/>
      <c r="P304" s="4266"/>
      <c r="R304" s="367"/>
    </row>
    <row r="305" spans="1:18" ht="12.75" customHeight="1">
      <c r="A305" s="174"/>
      <c r="B305" s="379" t="s">
        <v>2325</v>
      </c>
      <c r="C305" s="36" t="s">
        <v>3277</v>
      </c>
      <c r="I305" s="379" t="s">
        <v>2325</v>
      </c>
      <c r="J305" s="4223"/>
      <c r="K305" s="4224"/>
      <c r="L305" s="379" t="s">
        <v>2325</v>
      </c>
      <c r="M305" s="4220"/>
      <c r="N305" s="4221"/>
      <c r="O305" s="4221"/>
      <c r="P305" s="4222"/>
      <c r="R305" s="367"/>
    </row>
    <row r="306" spans="1:18" ht="12.75" customHeight="1">
      <c r="B306" s="366" t="s">
        <v>2326</v>
      </c>
      <c r="C306" s="36" t="s">
        <v>4156</v>
      </c>
      <c r="I306" s="366" t="s">
        <v>2326</v>
      </c>
      <c r="J306" s="4223"/>
      <c r="K306" s="4224"/>
      <c r="L306" s="366" t="s">
        <v>2326</v>
      </c>
      <c r="M306" s="4220"/>
      <c r="N306" s="4221"/>
      <c r="O306" s="4221"/>
      <c r="P306" s="4222"/>
      <c r="R306" s="367"/>
    </row>
    <row r="307" spans="1:18" ht="12.75" customHeight="1">
      <c r="A307" s="174"/>
      <c r="B307" s="366" t="s">
        <v>2327</v>
      </c>
      <c r="C307" s="36" t="s">
        <v>3192</v>
      </c>
      <c r="I307" s="366" t="s">
        <v>2327</v>
      </c>
      <c r="J307" s="4223"/>
      <c r="K307" s="4224"/>
      <c r="L307" s="366" t="s">
        <v>2327</v>
      </c>
      <c r="M307" s="4220"/>
      <c r="N307" s="4221"/>
      <c r="O307" s="4221"/>
      <c r="P307" s="4222"/>
      <c r="R307" s="367"/>
    </row>
    <row r="308" spans="1:18" s="43" customFormat="1" ht="12.75" customHeight="1">
      <c r="A308" s="173"/>
      <c r="B308" s="379" t="s">
        <v>2328</v>
      </c>
      <c r="C308" s="36" t="s">
        <v>2571</v>
      </c>
      <c r="I308" s="379" t="s">
        <v>2328</v>
      </c>
      <c r="J308" s="4223"/>
      <c r="K308" s="4224"/>
      <c r="L308" s="379" t="s">
        <v>2328</v>
      </c>
      <c r="M308" s="4220"/>
      <c r="N308" s="4221"/>
      <c r="O308" s="4221"/>
      <c r="P308" s="4222"/>
      <c r="R308" s="367"/>
    </row>
    <row r="309" spans="1:18" ht="12.75" customHeight="1">
      <c r="B309" s="366" t="s">
        <v>2344</v>
      </c>
      <c r="C309" s="36" t="s">
        <v>1422</v>
      </c>
      <c r="I309" s="366" t="s">
        <v>2344</v>
      </c>
      <c r="J309" s="4223"/>
      <c r="K309" s="4224"/>
      <c r="L309" s="366" t="s">
        <v>2344</v>
      </c>
      <c r="M309" s="4220"/>
      <c r="N309" s="4221"/>
      <c r="O309" s="4221"/>
      <c r="P309" s="4222"/>
      <c r="R309" s="367"/>
    </row>
    <row r="310" spans="1:18" ht="12.75" customHeight="1">
      <c r="B310" s="366" t="s">
        <v>2345</v>
      </c>
      <c r="C310" s="36" t="s">
        <v>6504</v>
      </c>
      <c r="I310" s="366" t="s">
        <v>2345</v>
      </c>
      <c r="J310" s="4223"/>
      <c r="K310" s="4224"/>
      <c r="L310" s="366" t="s">
        <v>2345</v>
      </c>
      <c r="M310" s="3013"/>
      <c r="N310" s="3014"/>
      <c r="O310" s="3014"/>
      <c r="P310" s="3015"/>
      <c r="R310" s="367"/>
    </row>
    <row r="311" spans="1:18" ht="12.75" customHeight="1">
      <c r="A311" s="174"/>
      <c r="B311" s="378" t="s">
        <v>2346</v>
      </c>
      <c r="C311" s="36" t="s">
        <v>3276</v>
      </c>
      <c r="I311" s="378" t="s">
        <v>2346</v>
      </c>
      <c r="J311" s="4223"/>
      <c r="K311" s="4224"/>
      <c r="L311" s="378" t="s">
        <v>2346</v>
      </c>
      <c r="M311" s="4220"/>
      <c r="N311" s="4221"/>
      <c r="O311" s="4221"/>
      <c r="P311" s="4222"/>
      <c r="R311" s="367"/>
    </row>
    <row r="312" spans="1:18" ht="12.75" customHeight="1">
      <c r="B312" s="378" t="s">
        <v>2347</v>
      </c>
      <c r="C312" s="36" t="s">
        <v>4000</v>
      </c>
      <c r="I312" s="378" t="s">
        <v>2347</v>
      </c>
      <c r="J312" s="4223"/>
      <c r="K312" s="4224"/>
      <c r="L312" s="378" t="s">
        <v>2347</v>
      </c>
      <c r="M312" s="4220"/>
      <c r="N312" s="4221"/>
      <c r="O312" s="4221"/>
      <c r="P312" s="4222"/>
      <c r="R312" s="367"/>
    </row>
    <row r="313" spans="1:18" ht="12.75" customHeight="1">
      <c r="B313" s="378" t="s">
        <v>3278</v>
      </c>
      <c r="C313" s="36" t="s">
        <v>4001</v>
      </c>
      <c r="I313" s="378" t="s">
        <v>3278</v>
      </c>
      <c r="J313" s="4223"/>
      <c r="K313" s="4224"/>
      <c r="L313" s="378" t="s">
        <v>3278</v>
      </c>
      <c r="M313" s="4220"/>
      <c r="N313" s="4221"/>
      <c r="O313" s="4221"/>
      <c r="P313" s="4222"/>
      <c r="R313" s="367"/>
    </row>
    <row r="314" spans="1:18" ht="12.75" customHeight="1" thickBot="1">
      <c r="B314" s="378" t="s">
        <v>6505</v>
      </c>
      <c r="C314" s="36" t="s">
        <v>6506</v>
      </c>
      <c r="I314" s="378" t="s">
        <v>6505</v>
      </c>
      <c r="J314" s="4223">
        <v>480000</v>
      </c>
      <c r="K314" s="4224"/>
      <c r="L314" s="378" t="s">
        <v>6505</v>
      </c>
      <c r="M314" s="4426"/>
      <c r="N314" s="4427"/>
      <c r="O314" s="4427"/>
      <c r="P314" s="4428"/>
      <c r="R314" s="367"/>
    </row>
    <row r="315" spans="1:18" ht="12.75" customHeight="1" thickBot="1">
      <c r="B315" s="988" t="s">
        <v>4002</v>
      </c>
      <c r="H315" s="1006" t="s">
        <v>2501</v>
      </c>
      <c r="J315" s="4404">
        <f>SUM(J304:K314)</f>
        <v>480000</v>
      </c>
      <c r="K315" s="4405"/>
      <c r="M315" s="4404">
        <f>SUM($M304:$M314)</f>
        <v>0</v>
      </c>
      <c r="N315" s="4409"/>
      <c r="O315" s="4409"/>
      <c r="P315" s="4405"/>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290">
        <f>'Part VI-Revenues &amp; Expenses'!$P$67</f>
        <v>48</v>
      </c>
      <c r="K317" s="4291"/>
      <c r="L317" s="497"/>
      <c r="M317" s="474"/>
      <c r="N317" s="474"/>
      <c r="O317" s="962"/>
      <c r="P317" s="474"/>
    </row>
    <row r="318" spans="1:18" ht="13.5" customHeight="1">
      <c r="C318" s="897"/>
      <c r="D318" s="897"/>
      <c r="E318" s="897"/>
      <c r="F318" s="422" t="s">
        <v>6508</v>
      </c>
      <c r="J318" s="4383">
        <f>J315/J317</f>
        <v>10000</v>
      </c>
      <c r="K318" s="4384"/>
      <c r="M318" s="4414">
        <f>IF($J317=0,0,$M315/$J317)</f>
        <v>0</v>
      </c>
      <c r="N318" s="4415"/>
      <c r="O318" s="4415"/>
      <c r="P318" s="4416"/>
    </row>
    <row r="319" spans="1:18" s="43" customFormat="1" ht="12.75" customHeight="1">
      <c r="C319" s="897"/>
      <c r="D319" s="897"/>
      <c r="E319" s="897"/>
      <c r="F319" s="921" t="s">
        <v>6509</v>
      </c>
      <c r="I319" s="27"/>
      <c r="J319" s="4380">
        <f>IF(L296="", IF($J318&gt;=30000, 3,IF($J318&gt;=20000, 2,IF($J318&gt;=10000,1,0))),0)</f>
        <v>1</v>
      </c>
      <c r="K319" s="4382"/>
      <c r="L319" s="482"/>
      <c r="M319" s="4380">
        <f>IF(R296="", IF($M318&gt;=30000, 3,IF($M318&gt;=20000, 2,IF($M318&gt;=10000,1,0))),0)</f>
        <v>0</v>
      </c>
      <c r="N319" s="4381"/>
      <c r="O319" s="4381"/>
      <c r="P319" s="4382"/>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3949" t="s">
        <v>3496</v>
      </c>
      <c r="D322" s="3949"/>
      <c r="E322" s="3949"/>
      <c r="F322" s="3949"/>
      <c r="G322" s="3949"/>
      <c r="H322" s="3949"/>
      <c r="I322" s="3949"/>
      <c r="J322" s="3949"/>
      <c r="K322" s="3949"/>
      <c r="L322" s="3949"/>
      <c r="M322" s="3949"/>
      <c r="N322" s="1737" t="s">
        <v>1896</v>
      </c>
      <c r="O322" s="2664"/>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71"/>
      <c r="P323" s="2954"/>
      <c r="V323" s="929"/>
    </row>
    <row r="324" spans="1:22" ht="12.75" customHeight="1">
      <c r="B324" s="365" t="s">
        <v>2416</v>
      </c>
      <c r="C324" s="418" t="s">
        <v>4003</v>
      </c>
      <c r="N324" s="779" t="s">
        <v>2416</v>
      </c>
      <c r="O324" s="2671"/>
      <c r="P324" s="2954"/>
    </row>
    <row r="325" spans="1:22" ht="12" customHeight="1" thickBot="1">
      <c r="B325" s="1007" t="s">
        <v>3373</v>
      </c>
    </row>
    <row r="326" spans="1:22" s="43" customFormat="1" ht="42" customHeight="1" thickTop="1" thickBot="1">
      <c r="A326" s="4209" t="s">
        <v>6997</v>
      </c>
      <c r="B326" s="4210"/>
      <c r="C326" s="4210"/>
      <c r="D326" s="4210"/>
      <c r="E326" s="4210"/>
      <c r="F326" s="4210"/>
      <c r="G326" s="4210"/>
      <c r="H326" s="4210"/>
      <c r="I326" s="4210"/>
      <c r="J326" s="4210"/>
      <c r="K326" s="4210"/>
      <c r="L326" s="4210"/>
      <c r="M326" s="4210"/>
      <c r="N326" s="4210"/>
      <c r="O326" s="4210"/>
      <c r="P326" s="4211"/>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58"/>
      <c r="B328" s="4159"/>
      <c r="C328" s="4159"/>
      <c r="D328" s="4159"/>
      <c r="E328" s="4159"/>
      <c r="F328" s="4159"/>
      <c r="G328" s="4159"/>
      <c r="H328" s="4159"/>
      <c r="I328" s="4159"/>
      <c r="J328" s="4159"/>
      <c r="K328" s="4159"/>
      <c r="L328" s="4159"/>
      <c r="M328" s="4159"/>
      <c r="N328" s="4159"/>
      <c r="O328" s="4159"/>
      <c r="P328" s="4160"/>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3523</v>
      </c>
      <c r="B330" s="104" t="s">
        <v>2566</v>
      </c>
      <c r="D330" s="40"/>
      <c r="G330" s="61" t="s">
        <v>6296</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3" t="s">
        <v>4069</v>
      </c>
      <c r="E332" s="3814"/>
      <c r="F332" s="3814"/>
      <c r="G332" s="3814"/>
      <c r="H332" s="3814"/>
      <c r="I332" s="3815"/>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7"/>
      <c r="Q334" s="895" t="str">
        <f>IF(OR($O334=$M334,$O334=0,$O334=""),"","*CHECK!*")</f>
        <v/>
      </c>
      <c r="R334" s="892" t="s">
        <v>4265</v>
      </c>
    </row>
    <row r="335" spans="1:22" s="401" customFormat="1" ht="12" customHeight="1">
      <c r="A335" s="400"/>
      <c r="B335" s="3960" t="s">
        <v>6510</v>
      </c>
      <c r="C335" s="3960"/>
      <c r="D335" s="3960"/>
      <c r="E335" s="3960"/>
      <c r="F335" s="3960"/>
      <c r="G335" s="3960"/>
      <c r="H335" s="3960"/>
      <c r="I335" s="3960"/>
      <c r="J335" s="3960"/>
      <c r="K335" s="3960"/>
      <c r="L335" s="3960"/>
      <c r="M335" s="4425" t="s">
        <v>4070</v>
      </c>
      <c r="N335" s="4425"/>
      <c r="Q335" s="170"/>
    </row>
    <row r="336" spans="1:22" s="401" customFormat="1" ht="12" customHeight="1">
      <c r="B336" s="3960"/>
      <c r="C336" s="3960"/>
      <c r="D336" s="3960"/>
      <c r="E336" s="3960"/>
      <c r="F336" s="3960"/>
      <c r="G336" s="3960"/>
      <c r="H336" s="3960"/>
      <c r="I336" s="3960"/>
      <c r="J336" s="3960"/>
      <c r="K336" s="3960"/>
      <c r="L336" s="3960"/>
      <c r="M336" s="4425"/>
      <c r="N336" s="4425"/>
      <c r="O336" s="4429">
        <f>'Part VI-Revenues &amp; Expenses'!$P$123</f>
        <v>0</v>
      </c>
      <c r="P336" s="4430"/>
      <c r="Q336" s="170"/>
    </row>
    <row r="337" spans="1:19" s="401" customFormat="1" ht="12" customHeight="1">
      <c r="B337" s="3960"/>
      <c r="C337" s="3960"/>
      <c r="D337" s="3960"/>
      <c r="E337" s="3960"/>
      <c r="F337" s="3960"/>
      <c r="G337" s="3960"/>
      <c r="H337" s="3960"/>
      <c r="I337" s="3960"/>
      <c r="J337" s="3960"/>
      <c r="K337" s="3960"/>
      <c r="L337" s="3960"/>
      <c r="M337" s="2637" t="s">
        <v>2628</v>
      </c>
      <c r="N337" s="402"/>
      <c r="O337" s="4376">
        <f>'Part VI-Revenues &amp; Expenses'!$P$67</f>
        <v>48</v>
      </c>
      <c r="P337" s="4377"/>
      <c r="Q337" s="170"/>
    </row>
    <row r="338" spans="1:19" s="401" customFormat="1" ht="12" customHeight="1">
      <c r="B338" s="4431"/>
      <c r="C338" s="4431"/>
      <c r="D338" s="4431"/>
      <c r="E338" s="4431"/>
      <c r="F338" s="4431"/>
      <c r="G338" s="4431"/>
      <c r="H338" s="4431"/>
      <c r="I338" s="4431"/>
      <c r="J338" s="4431"/>
      <c r="K338" s="4431"/>
      <c r="L338" s="4431"/>
      <c r="M338" s="1280" t="s">
        <v>2629</v>
      </c>
      <c r="N338" s="402"/>
      <c r="O338" s="4225">
        <f>IF(O337=0,0,O336/O337)</f>
        <v>0</v>
      </c>
      <c r="P338" s="4226"/>
      <c r="Q338" s="170"/>
    </row>
    <row r="339" spans="1:19" s="43" customFormat="1" ht="105.75" customHeight="1">
      <c r="A339" s="492"/>
      <c r="B339" s="4141" t="s">
        <v>3568</v>
      </c>
      <c r="C339" s="4142"/>
      <c r="D339" s="4142"/>
      <c r="E339" s="4142"/>
      <c r="F339" s="4142"/>
      <c r="G339" s="4142"/>
      <c r="H339" s="4142"/>
      <c r="I339" s="4142"/>
      <c r="J339" s="4142"/>
      <c r="K339" s="4142"/>
      <c r="L339" s="4142"/>
      <c r="M339" s="4142"/>
      <c r="N339" s="4142"/>
      <c r="O339" s="4142"/>
      <c r="P339" s="414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4158</v>
      </c>
      <c r="C341" s="138"/>
      <c r="D341" s="766"/>
      <c r="H341" s="382"/>
      <c r="M341" s="402">
        <v>2</v>
      </c>
      <c r="N341" s="159" t="s">
        <v>1895</v>
      </c>
      <c r="O341" s="2573"/>
      <c r="P341" s="3007"/>
      <c r="Q341" s="895" t="str">
        <f>IF(OR($O341=$M341,$O341=0,$O341=""),"","*CHECK!*")</f>
        <v/>
      </c>
      <c r="R341" s="892" t="s">
        <v>4265</v>
      </c>
    </row>
    <row r="342" spans="1:19" s="401" customFormat="1" ht="11.25" customHeight="1">
      <c r="A342" s="493"/>
      <c r="B342" s="3949" t="s">
        <v>6511</v>
      </c>
      <c r="C342" s="3949"/>
      <c r="D342" s="3949"/>
      <c r="E342" s="3949"/>
      <c r="F342" s="3949"/>
      <c r="G342" s="3949"/>
      <c r="H342" s="3949"/>
      <c r="I342" s="3949"/>
      <c r="J342" s="3949"/>
      <c r="K342" s="3949"/>
      <c r="L342" s="3949"/>
      <c r="M342" s="1320" t="s">
        <v>4004</v>
      </c>
      <c r="O342" s="4407">
        <f>'Part VI-Revenues &amp; Expenses'!$P$125</f>
        <v>0</v>
      </c>
      <c r="P342" s="4408"/>
      <c r="Q342" s="170"/>
    </row>
    <row r="343" spans="1:19" s="401" customFormat="1" ht="11.25" customHeight="1">
      <c r="A343" s="493"/>
      <c r="B343" s="3949"/>
      <c r="C343" s="3949"/>
      <c r="D343" s="3949"/>
      <c r="E343" s="3949"/>
      <c r="F343" s="3949"/>
      <c r="G343" s="3949"/>
      <c r="H343" s="3949"/>
      <c r="I343" s="3949"/>
      <c r="J343" s="3949"/>
      <c r="K343" s="3949"/>
      <c r="L343" s="3949"/>
      <c r="M343" s="1016" t="s">
        <v>2628</v>
      </c>
      <c r="N343" s="402"/>
      <c r="O343" s="4376">
        <f>'Part VI-Revenues &amp; Expenses'!$P$67</f>
        <v>48</v>
      </c>
      <c r="P343" s="4377"/>
      <c r="Q343" s="170"/>
    </row>
    <row r="344" spans="1:19" s="401" customFormat="1" ht="11.25" customHeight="1">
      <c r="A344" s="493"/>
      <c r="B344" s="3949"/>
      <c r="C344" s="3949"/>
      <c r="D344" s="3949"/>
      <c r="E344" s="3949"/>
      <c r="F344" s="3949"/>
      <c r="G344" s="3949"/>
      <c r="H344" s="3949"/>
      <c r="I344" s="3949"/>
      <c r="J344" s="3949"/>
      <c r="K344" s="3949"/>
      <c r="L344" s="3949"/>
      <c r="M344" s="1280" t="s">
        <v>2629</v>
      </c>
      <c r="N344" s="402"/>
      <c r="O344" s="4225">
        <f>IF(O343=0,0,O342/O343)</f>
        <v>0</v>
      </c>
      <c r="P344" s="4226"/>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09" t="s">
        <v>931</v>
      </c>
      <c r="B346" s="4210"/>
      <c r="C346" s="4210"/>
      <c r="D346" s="4210"/>
      <c r="E346" s="4210"/>
      <c r="F346" s="4210"/>
      <c r="G346" s="4210"/>
      <c r="H346" s="4210"/>
      <c r="I346" s="4210"/>
      <c r="J346" s="4210"/>
      <c r="K346" s="4210"/>
      <c r="L346" s="4210"/>
      <c r="M346" s="4210"/>
      <c r="N346" s="4210"/>
      <c r="O346" s="4210"/>
      <c r="P346" s="4211"/>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58"/>
      <c r="B348" s="4159"/>
      <c r="C348" s="4159"/>
      <c r="D348" s="4159"/>
      <c r="E348" s="4159"/>
      <c r="F348" s="4159"/>
      <c r="G348" s="4159"/>
      <c r="H348" s="4159"/>
      <c r="I348" s="4159"/>
      <c r="J348" s="4159"/>
      <c r="K348" s="4159"/>
      <c r="L348" s="4159"/>
      <c r="M348" s="4159"/>
      <c r="N348" s="4159"/>
      <c r="O348" s="4159"/>
      <c r="P348" s="4160"/>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3524</v>
      </c>
      <c r="B350" s="104" t="s">
        <v>4240</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3301</v>
      </c>
      <c r="D352" s="45"/>
      <c r="E352" s="45"/>
      <c r="F352" s="39"/>
      <c r="G352" s="36"/>
      <c r="I352" s="36"/>
      <c r="J352" s="36"/>
      <c r="K352" s="36"/>
      <c r="L352" s="367"/>
      <c r="M352" s="2648"/>
      <c r="N352" s="6"/>
      <c r="O352" s="977">
        <v>10</v>
      </c>
      <c r="P352" s="977">
        <v>10</v>
      </c>
      <c r="Q352" s="108"/>
    </row>
    <row r="353" spans="1:18" s="101" customFormat="1" ht="12.75" customHeight="1">
      <c r="A353" s="152"/>
      <c r="B353" s="86" t="s">
        <v>3302</v>
      </c>
      <c r="D353" s="45"/>
      <c r="E353" s="45"/>
      <c r="F353" s="39"/>
      <c r="G353" s="36"/>
      <c r="I353" s="36"/>
      <c r="J353" s="36"/>
      <c r="K353" s="36"/>
      <c r="L353" s="367"/>
      <c r="M353" s="2648"/>
      <c r="N353" s="6"/>
      <c r="O353" s="2606"/>
      <c r="P353" s="3010"/>
      <c r="Q353" s="108"/>
    </row>
    <row r="354" spans="1:18" s="101" customFormat="1" ht="12.75" customHeight="1">
      <c r="A354" s="152"/>
      <c r="B354" s="86" t="s">
        <v>3303</v>
      </c>
      <c r="D354" s="45"/>
      <c r="E354" s="45"/>
      <c r="F354" s="39"/>
      <c r="G354" s="36"/>
      <c r="I354" s="36"/>
      <c r="J354" s="36"/>
      <c r="K354" s="36"/>
      <c r="L354" s="367"/>
      <c r="M354" s="2648"/>
      <c r="N354" s="6"/>
      <c r="O354" s="2607"/>
      <c r="P354" s="2990"/>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58"/>
      <c r="B356" s="4159"/>
      <c r="C356" s="4159"/>
      <c r="D356" s="4159"/>
      <c r="E356" s="4159"/>
      <c r="F356" s="4159"/>
      <c r="G356" s="4159"/>
      <c r="H356" s="4159"/>
      <c r="I356" s="4159"/>
      <c r="J356" s="4159"/>
      <c r="K356" s="4159"/>
      <c r="L356" s="4159"/>
      <c r="M356" s="4159"/>
      <c r="N356" s="4159"/>
      <c r="O356" s="4159"/>
      <c r="P356" s="4160"/>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3527</v>
      </c>
      <c r="B358" s="105" t="s">
        <v>6512</v>
      </c>
      <c r="C358" s="2655"/>
      <c r="D358" s="2655"/>
      <c r="E358" s="2655"/>
      <c r="F358" s="2655"/>
      <c r="G358" s="61" t="s">
        <v>6296</v>
      </c>
      <c r="H358" s="2655"/>
      <c r="I358" s="178" t="s">
        <v>3987</v>
      </c>
      <c r="J358" s="1292" t="str">
        <f>'Part I-Project Information'!$H$77</f>
        <v>Family</v>
      </c>
      <c r="K358" s="2655"/>
      <c r="L358" s="2655"/>
      <c r="M358" s="777">
        <v>2</v>
      </c>
      <c r="N358" s="74"/>
      <c r="O358" s="2605"/>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3828</v>
      </c>
      <c r="C360" s="2655"/>
      <c r="D360" s="2655"/>
      <c r="E360" s="2655"/>
      <c r="F360" s="2655"/>
      <c r="G360" s="2655"/>
      <c r="H360" s="2655"/>
      <c r="I360" s="2655"/>
      <c r="J360" s="2655"/>
      <c r="K360" s="2655"/>
      <c r="L360" s="1276"/>
      <c r="M360" s="777"/>
      <c r="N360" s="74"/>
      <c r="O360" s="2493"/>
      <c r="P360" s="2963"/>
      <c r="Q360" s="108"/>
    </row>
    <row r="361" spans="1:18" s="101" customFormat="1" ht="11.25" customHeight="1">
      <c r="A361" s="151"/>
      <c r="B361" s="112" t="s">
        <v>6518</v>
      </c>
      <c r="D361" s="783" t="s">
        <v>6558</v>
      </c>
      <c r="E361" s="2659"/>
      <c r="F361" s="2659"/>
      <c r="G361" s="2659"/>
      <c r="H361" s="2659"/>
      <c r="K361" s="2659"/>
      <c r="L361" s="2659"/>
      <c r="N361" s="92"/>
      <c r="O361" s="4413" t="s">
        <v>4263</v>
      </c>
      <c r="P361" s="4413"/>
      <c r="Q361" s="108"/>
    </row>
    <row r="362" spans="1:18" s="414" customFormat="1" ht="10.5" customHeight="1">
      <c r="A362" s="413"/>
      <c r="B362" s="1677" t="s">
        <v>2324</v>
      </c>
      <c r="C362" s="921" t="s">
        <v>6513</v>
      </c>
      <c r="N362" s="425" t="s">
        <v>2324</v>
      </c>
      <c r="O362" s="2608"/>
      <c r="P362" s="3016"/>
    </row>
    <row r="363" spans="1:18" s="401" customFormat="1" ht="21.75" customHeight="1">
      <c r="A363" s="142"/>
      <c r="B363" s="379" t="s">
        <v>2325</v>
      </c>
      <c r="C363" s="4083" t="s">
        <v>6514</v>
      </c>
      <c r="D363" s="4083"/>
      <c r="E363" s="4083"/>
      <c r="F363" s="4083"/>
      <c r="G363" s="4083"/>
      <c r="H363" s="4083"/>
      <c r="I363" s="4083"/>
      <c r="J363" s="4083"/>
      <c r="K363" s="4083"/>
      <c r="L363" s="4083"/>
      <c r="M363" s="4083"/>
      <c r="N363" s="159" t="s">
        <v>2325</v>
      </c>
      <c r="O363" s="2609"/>
      <c r="P363" s="3017"/>
    </row>
    <row r="364" spans="1:18" s="401" customFormat="1" ht="21.75" customHeight="1">
      <c r="A364" s="142"/>
      <c r="B364" s="379" t="s">
        <v>2326</v>
      </c>
      <c r="C364" s="4083" t="s">
        <v>6516</v>
      </c>
      <c r="D364" s="4083"/>
      <c r="E364" s="4083"/>
      <c r="F364" s="4083"/>
      <c r="G364" s="4083"/>
      <c r="H364" s="4083"/>
      <c r="I364" s="4083"/>
      <c r="J364" s="4083"/>
      <c r="K364" s="4083"/>
      <c r="L364" s="4083"/>
      <c r="M364" s="4083"/>
      <c r="N364" s="159" t="s">
        <v>2326</v>
      </c>
      <c r="O364" s="2609"/>
      <c r="P364" s="3017"/>
    </row>
    <row r="365" spans="1:18" s="101" customFormat="1" ht="11.25" customHeight="1">
      <c r="B365" s="366" t="s">
        <v>2327</v>
      </c>
      <c r="C365" s="36" t="s">
        <v>6517</v>
      </c>
      <c r="N365" s="439" t="s">
        <v>2327</v>
      </c>
      <c r="O365" s="2610"/>
      <c r="P365" s="3018"/>
    </row>
    <row r="366" spans="1:18" s="101" customFormat="1" ht="11.25" customHeight="1">
      <c r="A366" s="151"/>
      <c r="B366" s="112" t="s">
        <v>6519</v>
      </c>
      <c r="D366" s="2659"/>
      <c r="E366" s="2659"/>
      <c r="F366" s="2659"/>
      <c r="G366" s="2659"/>
      <c r="H366" s="783" t="s">
        <v>6558</v>
      </c>
      <c r="K366" s="2659"/>
      <c r="L366" s="2659"/>
      <c r="M366" s="777"/>
      <c r="N366" s="92"/>
      <c r="O366" s="4378" t="s">
        <v>4263</v>
      </c>
      <c r="P366" s="4378"/>
      <c r="Q366" s="108"/>
    </row>
    <row r="367" spans="1:18" s="414" customFormat="1" ht="12.75" customHeight="1">
      <c r="A367" s="413"/>
      <c r="B367" s="1677" t="s">
        <v>2324</v>
      </c>
      <c r="C367" s="4379" t="s">
        <v>6520</v>
      </c>
      <c r="D367" s="4379"/>
      <c r="E367" s="4379"/>
      <c r="F367" s="4379"/>
      <c r="G367" s="4379"/>
      <c r="H367" s="4379"/>
      <c r="I367" s="4379"/>
      <c r="J367" s="4379"/>
      <c r="K367" s="4379"/>
      <c r="L367" s="4379"/>
      <c r="N367" s="425" t="s">
        <v>2324</v>
      </c>
      <c r="O367" s="2608"/>
      <c r="P367" s="3016"/>
    </row>
    <row r="368" spans="1:18" s="414" customFormat="1" ht="12.75" customHeight="1">
      <c r="A368" s="413"/>
      <c r="B368" s="1677" t="s">
        <v>2325</v>
      </c>
      <c r="C368" s="4379" t="s">
        <v>6521</v>
      </c>
      <c r="D368" s="4379"/>
      <c r="E368" s="4379"/>
      <c r="F368" s="4379"/>
      <c r="G368" s="4379"/>
      <c r="H368" s="4379"/>
      <c r="I368" s="4379"/>
      <c r="J368" s="4379"/>
      <c r="K368" s="4379"/>
      <c r="L368" s="4379"/>
      <c r="M368" s="921"/>
      <c r="N368" s="425" t="s">
        <v>2325</v>
      </c>
      <c r="O368" s="2611"/>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218" t="s">
        <v>4263</v>
      </c>
      <c r="P371" s="4218"/>
      <c r="Q371" s="2637"/>
      <c r="R371" s="43"/>
      <c r="S371" s="43"/>
      <c r="T371" s="43"/>
      <c r="U371" s="43"/>
    </row>
    <row r="372" spans="1:23" s="401" customFormat="1" ht="11.25" customHeight="1">
      <c r="A372" s="1678"/>
      <c r="B372" s="423" t="s">
        <v>1896</v>
      </c>
      <c r="C372" s="4412" t="s">
        <v>6559</v>
      </c>
      <c r="D372" s="4412"/>
      <c r="E372" s="4412"/>
      <c r="F372" s="4412"/>
      <c r="G372" s="4412"/>
      <c r="H372" s="4412"/>
      <c r="I372" s="4412"/>
      <c r="J372" s="4412"/>
      <c r="K372" s="4412"/>
      <c r="L372" s="4412"/>
      <c r="M372" s="4412"/>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209" t="s">
        <v>931</v>
      </c>
      <c r="B375" s="4210"/>
      <c r="C375" s="4210"/>
      <c r="D375" s="4210"/>
      <c r="E375" s="4210"/>
      <c r="F375" s="4210"/>
      <c r="G375" s="4210"/>
      <c r="H375" s="4210"/>
      <c r="I375" s="4210"/>
      <c r="J375" s="4210"/>
      <c r="K375" s="4210"/>
      <c r="L375" s="4210"/>
      <c r="M375" s="4210"/>
      <c r="N375" s="4210"/>
      <c r="O375" s="4210"/>
      <c r="P375" s="4211"/>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58"/>
      <c r="B377" s="4159"/>
      <c r="C377" s="4159"/>
      <c r="D377" s="4159"/>
      <c r="E377" s="4159"/>
      <c r="F377" s="4159"/>
      <c r="G377" s="4159"/>
      <c r="H377" s="4159"/>
      <c r="I377" s="4159"/>
      <c r="J377" s="4159"/>
      <c r="K377" s="4159"/>
      <c r="L377" s="4159"/>
      <c r="M377" s="4159"/>
      <c r="N377" s="4159"/>
      <c r="O377" s="4159"/>
      <c r="P377" s="4160"/>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3528</v>
      </c>
      <c r="B379" s="104" t="s">
        <v>6524</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58"/>
      <c r="B381" s="4159"/>
      <c r="C381" s="4159"/>
      <c r="D381" s="4159"/>
      <c r="E381" s="4159"/>
      <c r="F381" s="4159"/>
      <c r="G381" s="4159"/>
      <c r="H381" s="4159"/>
      <c r="I381" s="4159"/>
      <c r="J381" s="4159"/>
      <c r="K381" s="4159"/>
      <c r="L381" s="4159"/>
      <c r="M381" s="4159"/>
      <c r="N381" s="4159"/>
      <c r="O381" s="4159"/>
      <c r="P381" s="4160"/>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3529</v>
      </c>
      <c r="B383" s="104" t="s">
        <v>6525</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58"/>
      <c r="B385" s="4159"/>
      <c r="C385" s="4159"/>
      <c r="D385" s="4159"/>
      <c r="E385" s="4159"/>
      <c r="F385" s="4159"/>
      <c r="G385" s="4159"/>
      <c r="H385" s="4159"/>
      <c r="I385" s="4159"/>
      <c r="J385" s="4159"/>
      <c r="K385" s="4159"/>
      <c r="L385" s="4159"/>
      <c r="M385" s="4159"/>
      <c r="N385" s="4159"/>
      <c r="O385" s="4159"/>
      <c r="P385" s="4160"/>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3530</v>
      </c>
      <c r="B387" s="104" t="s">
        <v>6526</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58"/>
      <c r="B389" s="4159"/>
      <c r="C389" s="4159"/>
      <c r="D389" s="4159"/>
      <c r="E389" s="4159"/>
      <c r="F389" s="4159"/>
      <c r="G389" s="4159"/>
      <c r="H389" s="4159"/>
      <c r="I389" s="4159"/>
      <c r="J389" s="4159"/>
      <c r="K389" s="4159"/>
      <c r="L389" s="4159"/>
      <c r="M389" s="4159"/>
      <c r="N389" s="4159"/>
      <c r="O389" s="4159"/>
      <c r="P389" s="4160"/>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3531</v>
      </c>
      <c r="B391" s="104" t="s">
        <v>6527</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58"/>
      <c r="B393" s="4159"/>
      <c r="C393" s="4159"/>
      <c r="D393" s="4159"/>
      <c r="E393" s="4159"/>
      <c r="F393" s="4159"/>
      <c r="G393" s="4159"/>
      <c r="H393" s="4159"/>
      <c r="I393" s="4159"/>
      <c r="J393" s="4159"/>
      <c r="K393" s="4159"/>
      <c r="L393" s="4159"/>
      <c r="M393" s="4159"/>
      <c r="N393" s="4159"/>
      <c r="O393" s="4159"/>
      <c r="P393" s="4160"/>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3532</v>
      </c>
      <c r="B395" s="105" t="s">
        <v>6561</v>
      </c>
      <c r="C395" s="87"/>
      <c r="D395" s="58"/>
      <c r="E395" s="52"/>
      <c r="G395" s="55"/>
      <c r="I395" s="1682" t="s">
        <v>6530</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8"/>
      <c r="B397" s="4159"/>
      <c r="C397" s="4159"/>
      <c r="D397" s="4159"/>
      <c r="E397" s="4159"/>
      <c r="F397" s="4159"/>
      <c r="G397" s="4159"/>
      <c r="H397" s="4159"/>
      <c r="I397" s="4159"/>
      <c r="J397" s="4159"/>
      <c r="K397" s="4159"/>
      <c r="L397" s="4159"/>
      <c r="M397" s="4159"/>
      <c r="N397" s="4159"/>
      <c r="O397" s="4159"/>
      <c r="P397" s="4160"/>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6" t="s">
        <v>6281</v>
      </c>
      <c r="B403" s="4406"/>
      <c r="C403" s="4406"/>
      <c r="D403" s="4406"/>
      <c r="E403" s="4406"/>
      <c r="F403" s="4406"/>
      <c r="G403" s="4406"/>
      <c r="H403" s="4406"/>
      <c r="I403" s="4406"/>
      <c r="J403" s="4406"/>
      <c r="K403" s="4406"/>
      <c r="L403" s="4406"/>
      <c r="M403" s="4406"/>
      <c r="N403" s="4406"/>
      <c r="O403" s="4406"/>
      <c r="P403" s="4406"/>
    </row>
    <row r="404" spans="1:18" s="43" customFormat="1" ht="409.15" customHeight="1">
      <c r="A404" s="3963" t="s">
        <v>6972</v>
      </c>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3" t="s">
        <v>1443</v>
      </c>
      <c r="H424" s="4403"/>
      <c r="I424" s="4403"/>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4272</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4273</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4272</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4272</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4272</v>
      </c>
      <c r="J442" s="1840" t="s">
        <v>3484</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3479</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2543</v>
      </c>
      <c r="J445" s="1840" t="s">
        <v>3475</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4272</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3476</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3493</v>
      </c>
      <c r="H449" s="1812" t="s">
        <v>4273</v>
      </c>
      <c r="I449" s="1839" t="s">
        <v>2543</v>
      </c>
      <c r="J449" s="1840" t="s">
        <v>3477</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3480</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3483</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3478</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3481</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3482</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YrPzFAfqmorytw93CsGeeKlnj5t9PM5LzQspbolzlZz+CR2X1DrasiJvJ152QHsEGTiXcDBgpgRLmnBpPFrzIg==" saltValue="CoYc4fix/rTBXZDyg9PtK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28" priority="130" operator="greaterThan">
      <formula>M147</formula>
    </cfRule>
  </conditionalFormatting>
  <conditionalFormatting sqref="F100">
    <cfRule type="expression" dxfId="27" priority="167">
      <formula>AND($O$199&gt;0,$O$199&lt;4,OR($I$199="Statutory Redevelopment Plan",$I$199="Redevelopment Zone",$I$199="Local Redevelopment Plan"))</formula>
    </cfRule>
  </conditionalFormatting>
  <conditionalFormatting sqref="O89">
    <cfRule type="cellIs" dxfId="26" priority="77" operator="notEqual">
      <formula>$M89</formula>
    </cfRule>
  </conditionalFormatting>
  <conditionalFormatting sqref="O127">
    <cfRule type="cellIs" dxfId="25" priority="70" operator="notEqual">
      <formula>$M127</formula>
    </cfRule>
  </conditionalFormatting>
  <conditionalFormatting sqref="O126">
    <cfRule type="cellIs" dxfId="24" priority="71" operator="notEqual">
      <formula>$M126</formula>
    </cfRule>
  </conditionalFormatting>
  <conditionalFormatting sqref="O90">
    <cfRule type="cellIs" dxfId="23" priority="58" operator="notEqual">
      <formula>$M90</formula>
    </cfRule>
  </conditionalFormatting>
  <conditionalFormatting sqref="O135">
    <cfRule type="cellIs" dxfId="22" priority="67" operator="notEqual">
      <formula>$M135</formula>
    </cfRule>
  </conditionalFormatting>
  <conditionalFormatting sqref="O134">
    <cfRule type="cellIs" dxfId="21" priority="68" operator="notEqual">
      <formula>$M134</formula>
    </cfRule>
  </conditionalFormatting>
  <conditionalFormatting sqref="O136">
    <cfRule type="cellIs" dxfId="20" priority="66" operator="notEqual">
      <formula>$M136</formula>
    </cfRule>
  </conditionalFormatting>
  <conditionalFormatting sqref="O138">
    <cfRule type="cellIs" dxfId="19" priority="65" operator="notEqual">
      <formula>$M138</formula>
    </cfRule>
  </conditionalFormatting>
  <conditionalFormatting sqref="O176">
    <cfRule type="cellIs" dxfId="18" priority="60" operator="notEqual">
      <formula>$M176</formula>
    </cfRule>
  </conditionalFormatting>
  <conditionalFormatting sqref="O178">
    <cfRule type="cellIs" dxfId="17" priority="59" operator="notEqual">
      <formula>$M178</formula>
    </cfRule>
  </conditionalFormatting>
  <conditionalFormatting sqref="I86">
    <cfRule type="containsText" dxfId="16" priority="55" operator="containsText" text="&lt;&lt; Select Election or Income Averaging &gt;&gt;">
      <formula>NOT(ISERROR(SEARCH("&lt;&lt; Select Election or Income Averaging &gt;&gt;",I86)))</formula>
    </cfRule>
  </conditionalFormatting>
  <conditionalFormatting sqref="O84">
    <cfRule type="containsText" dxfId="15" priority="54" operator="containsText" text="AorB?">
      <formula>NOT(ISERROR(SEARCH("AorB?",O84)))</formula>
    </cfRule>
  </conditionalFormatting>
  <conditionalFormatting sqref="M128">
    <cfRule type="containsText" dxfId="14" priority="53" operator="containsText" text="Pick A1 or A2!">
      <formula>NOT(ISERROR(SEARCH("Pick A1 or A2!",M128)))</formula>
    </cfRule>
  </conditionalFormatting>
  <conditionalFormatting sqref="P176">
    <cfRule type="cellIs" dxfId="13" priority="51" operator="notEqual">
      <formula>$M176</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2701</v>
      </c>
      <c r="B1" s="4439"/>
      <c r="C1" s="4439"/>
      <c r="D1" s="4439"/>
      <c r="E1" s="4439"/>
      <c r="F1" s="4439"/>
      <c r="G1" s="4439"/>
      <c r="H1" s="4439"/>
      <c r="I1" s="4439"/>
      <c r="J1" s="4439"/>
    </row>
    <row r="2" spans="1:16" ht="15.75">
      <c r="A2" s="4439" t="str">
        <f>'Sensitivity Analysis'!C8</f>
        <v>Dunbar Court</v>
      </c>
      <c r="B2" s="4439"/>
      <c r="C2" s="4439"/>
      <c r="D2" s="4439"/>
      <c r="E2" s="4439"/>
      <c r="F2" s="4439"/>
      <c r="G2" s="4439"/>
      <c r="H2" s="4439"/>
      <c r="I2" s="4439"/>
      <c r="J2" s="4439"/>
    </row>
    <row r="3" spans="1:16" ht="15.75">
      <c r="A3" s="4439" t="str">
        <f>'Subsidy Layering Memo'!F14</f>
        <v>Byron, Peach</v>
      </c>
      <c r="B3" s="4439"/>
      <c r="C3" s="4439"/>
      <c r="D3" s="4439"/>
      <c r="E3" s="4439"/>
      <c r="F3" s="4439"/>
      <c r="G3" s="4439"/>
      <c r="H3" s="4439"/>
      <c r="I3" s="4439"/>
      <c r="J3" s="4439"/>
    </row>
    <row r="4" spans="1:16" ht="15.75">
      <c r="A4" s="4440" t="s">
        <v>2702</v>
      </c>
      <c r="B4" s="4439"/>
      <c r="C4" s="4439"/>
      <c r="D4" s="4439"/>
      <c r="E4" s="4439"/>
      <c r="F4" s="4439"/>
      <c r="G4" s="4439"/>
      <c r="H4" s="4439"/>
      <c r="I4" s="4439"/>
      <c r="J4" s="4439"/>
    </row>
    <row r="5" spans="1:16" ht="5.25" customHeight="1"/>
    <row r="6" spans="1:16" ht="5.25" customHeight="1"/>
    <row r="7" spans="1:16" ht="15.75">
      <c r="A7" s="4441" t="s">
        <v>2703</v>
      </c>
      <c r="B7" s="4441"/>
      <c r="C7" s="4442"/>
      <c r="M7" s="4432"/>
      <c r="N7" s="4432"/>
      <c r="O7" s="4432"/>
      <c r="P7" s="4432"/>
    </row>
    <row r="8" spans="1:16" ht="57" customHeight="1">
      <c r="A8" s="4433" t="s">
        <v>6402</v>
      </c>
      <c r="B8" s="4433"/>
      <c r="C8" s="4433"/>
      <c r="D8" s="4433"/>
      <c r="E8" s="4433"/>
      <c r="F8" s="4433"/>
      <c r="G8" s="4433"/>
      <c r="H8" s="4433"/>
      <c r="I8" s="4433"/>
      <c r="J8" s="4433"/>
      <c r="K8" s="580"/>
    </row>
    <row r="9" spans="1:16" ht="45.75" customHeight="1">
      <c r="A9" s="44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Byron, Peach County, Georgia, with the development of 48 units set aside for Family.</v>
      </c>
      <c r="B9" s="4433"/>
      <c r="C9" s="4433"/>
      <c r="D9" s="4433"/>
      <c r="E9" s="4433"/>
      <c r="F9" s="4433"/>
      <c r="G9" s="4433"/>
      <c r="H9" s="4433"/>
      <c r="I9" s="4433"/>
      <c r="J9" s="4433"/>
      <c r="K9" s="580"/>
    </row>
    <row r="10" spans="1:16" ht="15.75">
      <c r="A10" s="581" t="s">
        <v>2704</v>
      </c>
    </row>
    <row r="11" spans="1:16" ht="16.5" customHeight="1">
      <c r="A11" s="4433" t="str">
        <f>'Subsidy Layering Memo'!A50</f>
        <v xml:space="preserve">Ownership entity:  (NAME) LP, a Georgia Limited Partnership, will be the ownership entity for the proposed project. </v>
      </c>
      <c r="B11" s="4435"/>
      <c r="C11" s="4435"/>
      <c r="D11" s="4435"/>
      <c r="E11" s="4435"/>
      <c r="F11" s="4435"/>
      <c r="G11" s="4435"/>
      <c r="H11" s="4435"/>
      <c r="I11" s="4435"/>
      <c r="J11" s="4433"/>
    </row>
    <row r="12" spans="1:16" ht="63.75" customHeight="1">
      <c r="A12" s="44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3"/>
      <c r="C12" s="4433"/>
      <c r="D12" s="4433"/>
      <c r="E12" s="4433"/>
      <c r="F12" s="4433"/>
      <c r="G12" s="4433"/>
      <c r="H12" s="4433"/>
      <c r="I12" s="4433"/>
      <c r="J12" s="4433"/>
    </row>
    <row r="13" spans="1:16" ht="48.75" customHeight="1">
      <c r="A13" s="44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3"/>
      <c r="C13" s="4433"/>
      <c r="D13" s="4433"/>
      <c r="E13" s="4433"/>
      <c r="F13" s="4433"/>
      <c r="G13" s="4433"/>
      <c r="H13" s="4433"/>
      <c r="I13" s="4433"/>
      <c r="J13" s="4433"/>
    </row>
    <row r="14" spans="1:16" ht="15.75">
      <c r="A14" s="581" t="s">
        <v>2705</v>
      </c>
      <c r="B14" s="582"/>
    </row>
    <row r="15" spans="1:16">
      <c r="A15" s="579" t="s">
        <v>2706</v>
      </c>
      <c r="D15" s="1337" t="s">
        <v>2707</v>
      </c>
    </row>
    <row r="16" spans="1:16">
      <c r="A16" s="579" t="s">
        <v>2708</v>
      </c>
      <c r="D16" s="1335">
        <f>'Sensitivity Analysis'!C25</f>
        <v>480000</v>
      </c>
    </row>
    <row r="17" spans="1:11">
      <c r="A17" s="583" t="s">
        <v>2709</v>
      </c>
      <c r="D17" s="1336">
        <f>'Sensitivity Analysis'!C13</f>
        <v>48</v>
      </c>
    </row>
    <row r="18" spans="1:11" ht="14.25" customHeight="1"/>
    <row r="19" spans="1:11" ht="15.75">
      <c r="A19" s="581" t="s">
        <v>2710</v>
      </c>
      <c r="B19" s="582"/>
      <c r="C19" s="582"/>
    </row>
    <row r="20" spans="1:11" ht="48.75" customHeight="1">
      <c r="A20" s="44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6"/>
      <c r="C20" s="4436"/>
      <c r="D20" s="4436"/>
      <c r="E20" s="4436"/>
      <c r="F20" s="4436"/>
      <c r="G20" s="4436"/>
      <c r="H20" s="4436"/>
      <c r="I20" s="4436"/>
      <c r="J20" s="4436"/>
    </row>
    <row r="21" spans="1:11" ht="72.75" customHeight="1">
      <c r="A21" s="4433" t="str">
        <f>'Subsidy Layering Memo'!A67</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21" s="4433"/>
      <c r="C21" s="4433"/>
      <c r="D21" s="4433"/>
      <c r="E21" s="4433"/>
      <c r="F21" s="4433"/>
      <c r="G21" s="4433"/>
      <c r="H21" s="4433"/>
      <c r="I21" s="4433"/>
      <c r="J21" s="4433"/>
    </row>
    <row r="22" spans="1:11" ht="43.5" customHeight="1">
      <c r="A22" s="4438" t="str">
        <f>'Subsidy Layering Memo'!A68</f>
        <v xml:space="preserve">The total equity price per credit will be 1.24 (0.85 Federal tax credit and 0.39 State tax credit) for a (X%) ownership interest of the Federal Credits and a (X%) ownership interest of the State Credits. </v>
      </c>
      <c r="B22" s="4438"/>
      <c r="C22" s="4438"/>
      <c r="D22" s="4438"/>
      <c r="E22" s="4438"/>
      <c r="F22" s="4438"/>
      <c r="G22" s="4438"/>
      <c r="H22" s="4438"/>
      <c r="I22" s="4438"/>
      <c r="J22" s="4438"/>
    </row>
    <row r="23" spans="1:11" ht="15.75">
      <c r="A23" s="581" t="s">
        <v>6403</v>
      </c>
      <c r="B23" s="582"/>
      <c r="C23" s="582"/>
      <c r="D23" s="582"/>
      <c r="E23" s="582"/>
      <c r="F23" s="582"/>
    </row>
    <row r="24" spans="1:11" ht="102.75" customHeight="1">
      <c r="A24" s="44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7"/>
      <c r="C24" s="4437"/>
      <c r="D24" s="4437"/>
      <c r="E24" s="4437"/>
      <c r="F24" s="4437"/>
      <c r="G24" s="4437"/>
      <c r="H24" s="4437"/>
      <c r="I24" s="4437"/>
      <c r="J24" s="4437"/>
      <c r="K24" s="1088"/>
    </row>
    <row r="25" spans="1:11" ht="15" customHeight="1">
      <c r="A25" s="4434"/>
      <c r="B25" s="4434"/>
      <c r="C25" s="4434"/>
      <c r="D25" s="4434"/>
      <c r="E25" s="4434"/>
      <c r="F25" s="4434"/>
      <c r="G25" s="4434"/>
      <c r="H25" s="4434"/>
      <c r="I25" s="4434"/>
      <c r="J25" s="4434"/>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Dunbar Court</v>
      </c>
    </row>
    <row r="13" spans="1:10" ht="15">
      <c r="A13" s="589"/>
      <c r="D13" s="588" t="s">
        <v>2724</v>
      </c>
      <c r="F13" s="1334" t="str">
        <f>'Sensitivity Analysis'!E8</f>
        <v>2021-014</v>
      </c>
    </row>
    <row r="14" spans="1:10" ht="15">
      <c r="A14" s="589"/>
      <c r="D14" s="588" t="s">
        <v>2725</v>
      </c>
      <c r="F14" s="1334" t="str">
        <f>'Sensitivity Analysis'!H8</f>
        <v>Byron, Peach</v>
      </c>
    </row>
    <row r="15" spans="1:10" ht="15">
      <c r="A15" s="589"/>
      <c r="D15" s="588" t="s">
        <v>3066</v>
      </c>
      <c r="F15" s="4443">
        <f>'Sensitivity Analysis'!$C$25</f>
        <v>480000</v>
      </c>
      <c r="G15" s="4443"/>
      <c r="H15" s="4443"/>
    </row>
    <row r="16" spans="1:10" ht="15">
      <c r="A16" s="589"/>
      <c r="D16" s="591" t="s">
        <v>2726</v>
      </c>
      <c r="F16" s="592">
        <f>'Sensitivity Analysis'!C13</f>
        <v>48</v>
      </c>
      <c r="G16" s="593" t="s">
        <v>3067</v>
      </c>
      <c r="H16" s="1038">
        <f>'Sensitivity Analysis'!E13</f>
        <v>48</v>
      </c>
    </row>
    <row r="17" spans="1:18" ht="15">
      <c r="A17" s="589"/>
      <c r="D17" s="591" t="s">
        <v>2691</v>
      </c>
      <c r="F17" s="592" t="str">
        <f>'Sensitivity Analysis'!C14</f>
        <v>Family</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6405</v>
      </c>
    </row>
    <row r="22" spans="1:18" ht="111.75" customHeight="1">
      <c r="A22" s="4450" t="s">
        <v>3220</v>
      </c>
      <c r="B22" s="4450"/>
      <c r="C22" s="4450"/>
      <c r="D22" s="4450"/>
      <c r="E22" s="4450"/>
      <c r="F22" s="4450"/>
      <c r="G22" s="4450"/>
      <c r="H22" s="4450"/>
      <c r="I22" s="4450"/>
      <c r="J22" s="4450"/>
      <c r="K22" s="4458" t="s">
        <v>4089</v>
      </c>
      <c r="L22" s="4458"/>
      <c r="M22" s="4458"/>
      <c r="N22" s="4458"/>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9"/>
      <c r="B24" s="4459"/>
      <c r="C24" s="4459"/>
      <c r="D24" s="4459"/>
      <c r="E24" s="4459"/>
      <c r="F24" s="4459"/>
      <c r="G24" s="4459"/>
      <c r="H24" s="4459"/>
      <c r="I24" s="4459"/>
      <c r="J24" s="4459"/>
    </row>
    <row r="25" spans="1:18" ht="10.5" hidden="1" customHeight="1">
      <c r="A25" s="4438"/>
      <c r="B25" s="4438"/>
      <c r="C25" s="4438"/>
      <c r="D25" s="4438"/>
      <c r="E25" s="4438"/>
      <c r="F25" s="4438"/>
      <c r="G25" s="4438"/>
      <c r="H25" s="4438"/>
      <c r="I25" s="4438"/>
      <c r="J25" s="4438"/>
    </row>
    <row r="26" spans="1:18" ht="15">
      <c r="A26" s="594" t="s">
        <v>6404</v>
      </c>
    </row>
    <row r="27" spans="1:18" ht="14.25" customHeight="1">
      <c r="A27" s="4460" t="s">
        <v>6406</v>
      </c>
      <c r="B27" s="4460"/>
      <c r="C27" s="4460"/>
      <c r="D27" s="4460"/>
      <c r="E27" s="4460"/>
      <c r="F27" s="4460"/>
      <c r="G27" s="4460"/>
      <c r="H27" s="4460"/>
      <c r="I27" s="4460"/>
      <c r="J27" s="4460"/>
    </row>
    <row r="28" spans="1:18" ht="14.25" customHeight="1">
      <c r="A28" s="4460"/>
      <c r="B28" s="4460"/>
      <c r="C28" s="4460"/>
      <c r="D28" s="4460"/>
      <c r="E28" s="4460"/>
      <c r="F28" s="4460"/>
      <c r="G28" s="4460"/>
      <c r="H28" s="4460"/>
      <c r="I28" s="4460"/>
      <c r="J28" s="4460"/>
    </row>
    <row r="29" spans="1:18" ht="6.75" customHeight="1">
      <c r="A29" s="4460"/>
      <c r="B29" s="4460"/>
      <c r="C29" s="4460"/>
      <c r="D29" s="4460"/>
      <c r="E29" s="4460"/>
      <c r="F29" s="4460"/>
      <c r="G29" s="4460"/>
      <c r="H29" s="4460"/>
      <c r="I29" s="4460"/>
      <c r="J29" s="4460"/>
    </row>
    <row r="30" spans="1:18" ht="21.75" customHeight="1">
      <c r="A30" s="4460"/>
      <c r="B30" s="4460"/>
      <c r="C30" s="4460"/>
      <c r="D30" s="4460"/>
      <c r="E30" s="4460"/>
      <c r="F30" s="4460"/>
      <c r="G30" s="4460"/>
      <c r="H30" s="4460"/>
      <c r="I30" s="4460"/>
      <c r="J30" s="4460"/>
    </row>
    <row r="31" spans="1:18" ht="20.25" customHeight="1">
      <c r="A31" s="4460"/>
      <c r="B31" s="4460"/>
      <c r="C31" s="4460"/>
      <c r="D31" s="4460"/>
      <c r="E31" s="4460"/>
      <c r="F31" s="4460"/>
      <c r="G31" s="4460"/>
      <c r="H31" s="4460"/>
      <c r="I31" s="4460"/>
      <c r="J31" s="4460"/>
    </row>
    <row r="32" spans="1:18" ht="54.75" customHeight="1">
      <c r="A32" s="4460"/>
      <c r="B32" s="4460"/>
      <c r="C32" s="4460"/>
      <c r="D32" s="4460"/>
      <c r="E32" s="4460"/>
      <c r="F32" s="4460"/>
      <c r="G32" s="4460"/>
      <c r="H32" s="4460"/>
      <c r="I32" s="4460"/>
      <c r="J32" s="4460"/>
    </row>
    <row r="33" spans="1:10" ht="0.75" hidden="1" customHeight="1">
      <c r="A33" s="4460"/>
      <c r="B33" s="4460"/>
      <c r="C33" s="4460"/>
      <c r="D33" s="4460"/>
      <c r="E33" s="4460"/>
      <c r="F33" s="4460"/>
      <c r="G33" s="4460"/>
      <c r="H33" s="4460"/>
      <c r="I33" s="4460"/>
      <c r="J33" s="4460"/>
    </row>
    <row r="34" spans="1:10" ht="3.75" hidden="1" customHeight="1">
      <c r="A34" s="4460"/>
      <c r="B34" s="4460"/>
      <c r="C34" s="4460"/>
      <c r="D34" s="4460"/>
      <c r="E34" s="4460"/>
      <c r="F34" s="4460"/>
      <c r="G34" s="4460"/>
      <c r="H34" s="4460"/>
      <c r="I34" s="4460"/>
      <c r="J34" s="4460"/>
    </row>
    <row r="35" spans="1:10" ht="5.25" customHeight="1">
      <c r="A35" s="1330"/>
      <c r="B35" s="1330"/>
      <c r="C35" s="1330"/>
      <c r="D35" s="1330"/>
      <c r="E35" s="1330"/>
      <c r="F35" s="1330"/>
      <c r="G35" s="1330"/>
      <c r="H35" s="1330"/>
      <c r="I35" s="1330"/>
      <c r="J35" s="1330"/>
    </row>
    <row r="36" spans="1:10" ht="19.5" customHeight="1">
      <c r="A36" s="4459" t="s">
        <v>6407</v>
      </c>
      <c r="B36" s="4459"/>
      <c r="C36" s="4459"/>
      <c r="D36" s="1328"/>
      <c r="E36" s="1328"/>
      <c r="F36" s="1328"/>
      <c r="G36" s="1328"/>
      <c r="H36" s="1328"/>
      <c r="I36" s="1328"/>
      <c r="J36" s="1328"/>
    </row>
    <row r="37" spans="1:10" ht="22.5" customHeight="1">
      <c r="A37" s="4438" t="s">
        <v>1658</v>
      </c>
      <c r="B37" s="4438"/>
      <c r="C37" s="4438"/>
      <c r="D37" s="4438"/>
      <c r="E37" s="4438"/>
      <c r="F37" s="4438"/>
      <c r="G37" s="4438"/>
      <c r="H37" s="4438"/>
      <c r="I37" s="4438"/>
      <c r="J37" s="4438"/>
    </row>
    <row r="38" spans="1:10" ht="22.5" customHeight="1">
      <c r="A38" s="4438" t="s">
        <v>1659</v>
      </c>
      <c r="B38" s="4438"/>
      <c r="C38" s="4438"/>
      <c r="D38" s="4438"/>
      <c r="E38" s="4438"/>
      <c r="F38" s="4438"/>
      <c r="G38" s="4438"/>
      <c r="H38" s="4438"/>
      <c r="I38" s="4438"/>
      <c r="J38" s="4438"/>
    </row>
    <row r="39" spans="1:10" ht="22.5" customHeight="1">
      <c r="A39" s="4438" t="s">
        <v>1660</v>
      </c>
      <c r="B39" s="4438"/>
      <c r="C39" s="4438"/>
      <c r="D39" s="4438"/>
      <c r="E39" s="4438"/>
      <c r="F39" s="4438"/>
      <c r="G39" s="4438"/>
      <c r="H39" s="4438"/>
      <c r="I39" s="4438"/>
      <c r="J39" s="4438"/>
    </row>
    <row r="40" spans="1:10" ht="22.5" customHeight="1">
      <c r="A40" s="4438" t="s">
        <v>2260</v>
      </c>
      <c r="B40" s="4438"/>
      <c r="C40" s="4438"/>
      <c r="D40" s="4438"/>
      <c r="E40" s="4438"/>
      <c r="F40" s="4438"/>
      <c r="G40" s="4438"/>
      <c r="H40" s="4438"/>
      <c r="I40" s="4438"/>
      <c r="J40" s="4438"/>
    </row>
    <row r="41" spans="1:10" ht="22.5" customHeight="1">
      <c r="A41" s="4438" t="s">
        <v>1487</v>
      </c>
      <c r="B41" s="4438"/>
      <c r="C41" s="4438"/>
      <c r="D41" s="4438"/>
      <c r="E41" s="4438"/>
      <c r="F41" s="4438"/>
      <c r="G41" s="4438"/>
      <c r="H41" s="4438"/>
      <c r="I41" s="4438"/>
      <c r="J41" s="4438"/>
    </row>
    <row r="42" spans="1:10" ht="22.5" customHeight="1">
      <c r="A42" s="4438" t="s">
        <v>1488</v>
      </c>
      <c r="B42" s="4438"/>
      <c r="C42" s="4438"/>
      <c r="D42" s="4438"/>
      <c r="E42" s="4438"/>
      <c r="F42" s="4438"/>
      <c r="G42" s="4438"/>
      <c r="H42" s="4438"/>
      <c r="I42" s="4438"/>
      <c r="J42" s="4438"/>
    </row>
    <row r="43" spans="1:10" ht="22.5" customHeight="1">
      <c r="A43" s="4438" t="s">
        <v>92</v>
      </c>
      <c r="B43" s="4438"/>
      <c r="C43" s="4438"/>
      <c r="D43" s="4438"/>
      <c r="E43" s="4438"/>
      <c r="F43" s="4438"/>
      <c r="G43" s="4438"/>
      <c r="H43" s="4438"/>
      <c r="I43" s="4438"/>
      <c r="J43" s="4438"/>
    </row>
    <row r="44" spans="1:10" ht="22.5" customHeight="1">
      <c r="A44" s="4438" t="s">
        <v>489</v>
      </c>
      <c r="B44" s="4438"/>
      <c r="C44" s="4438"/>
      <c r="D44" s="4438"/>
      <c r="E44" s="4438"/>
      <c r="F44" s="4438"/>
      <c r="G44" s="4438"/>
      <c r="H44" s="4438"/>
      <c r="I44" s="4438"/>
      <c r="J44" s="4438"/>
    </row>
    <row r="45" spans="1:10" ht="2.25" customHeight="1">
      <c r="A45" s="1328"/>
      <c r="B45" s="1328"/>
      <c r="C45" s="1328"/>
      <c r="D45" s="1328"/>
      <c r="E45" s="1328"/>
      <c r="F45" s="1328"/>
      <c r="G45" s="1328"/>
      <c r="H45" s="1328"/>
      <c r="I45" s="1328"/>
      <c r="J45" s="1328"/>
    </row>
    <row r="46" spans="1:10" ht="15">
      <c r="A46" s="594" t="s">
        <v>2727</v>
      </c>
    </row>
    <row r="47" spans="1:10" ht="135" customHeight="1">
      <c r="A47" s="4438" t="s">
        <v>6408</v>
      </c>
      <c r="B47" s="4438"/>
      <c r="C47" s="4438"/>
      <c r="D47" s="4438"/>
      <c r="E47" s="4438"/>
      <c r="F47" s="4438"/>
      <c r="G47" s="4438"/>
      <c r="H47" s="4438"/>
      <c r="I47" s="4438"/>
      <c r="J47" s="4438"/>
    </row>
    <row r="48" spans="1:10" ht="6" customHeight="1">
      <c r="A48" s="1329"/>
      <c r="B48" s="1329"/>
      <c r="C48" s="1329"/>
      <c r="D48" s="1329"/>
      <c r="E48" s="1329"/>
      <c r="F48" s="1329"/>
      <c r="G48" s="1329"/>
      <c r="H48" s="1329"/>
      <c r="I48" s="1329"/>
      <c r="J48" s="1329"/>
    </row>
    <row r="49" spans="1:12" ht="15">
      <c r="A49" s="594" t="s">
        <v>2728</v>
      </c>
    </row>
    <row r="50" spans="1:12" ht="33" customHeight="1">
      <c r="A50" s="4433" t="s">
        <v>3606</v>
      </c>
      <c r="B50" s="4435"/>
      <c r="C50" s="4435"/>
      <c r="D50" s="4435"/>
      <c r="E50" s="4435"/>
      <c r="F50" s="4435"/>
      <c r="G50" s="4435"/>
      <c r="H50" s="4435"/>
      <c r="I50" s="4435"/>
      <c r="J50" s="4433"/>
    </row>
    <row r="51" spans="1:12" ht="3" customHeight="1"/>
    <row r="52" spans="1:12" ht="72.75" customHeight="1">
      <c r="A52" s="4433" t="s">
        <v>3607</v>
      </c>
      <c r="B52" s="4433"/>
      <c r="C52" s="4433"/>
      <c r="D52" s="4433"/>
      <c r="E52" s="4433"/>
      <c r="F52" s="4433"/>
      <c r="G52" s="4433"/>
      <c r="H52" s="4433"/>
      <c r="I52" s="4433"/>
      <c r="J52" s="4433"/>
    </row>
    <row r="53" spans="1:12" ht="3" customHeight="1">
      <c r="A53" s="1328"/>
      <c r="B53" s="1328"/>
      <c r="C53" s="1328"/>
      <c r="D53" s="1328"/>
      <c r="E53" s="1328"/>
      <c r="F53" s="1328"/>
      <c r="G53" s="1328"/>
      <c r="H53" s="1328"/>
      <c r="I53" s="1328"/>
      <c r="J53" s="1328"/>
    </row>
    <row r="54" spans="1:12" ht="56.25" customHeight="1">
      <c r="A54" s="4433" t="s">
        <v>3608</v>
      </c>
      <c r="B54" s="4433"/>
      <c r="C54" s="4433"/>
      <c r="D54" s="4433"/>
      <c r="E54" s="4433"/>
      <c r="F54" s="4433"/>
      <c r="G54" s="4433"/>
      <c r="H54" s="4433"/>
      <c r="I54" s="4433"/>
      <c r="J54" s="4433"/>
    </row>
    <row r="55" spans="1:12" ht="3" customHeight="1">
      <c r="A55" s="1328"/>
      <c r="B55" s="1328"/>
      <c r="C55" s="1328"/>
      <c r="D55" s="1328"/>
      <c r="E55" s="1328"/>
      <c r="F55" s="1328"/>
      <c r="G55" s="1328"/>
      <c r="H55" s="1328"/>
      <c r="I55" s="1328"/>
      <c r="J55" s="1328"/>
    </row>
    <row r="56" spans="1:12" ht="49.5" customHeight="1">
      <c r="A56" s="4433" t="s">
        <v>3609</v>
      </c>
      <c r="B56" s="4433"/>
      <c r="C56" s="4433"/>
      <c r="D56" s="4433"/>
      <c r="E56" s="4433"/>
      <c r="F56" s="4433"/>
      <c r="G56" s="4433"/>
      <c r="H56" s="4433"/>
      <c r="I56" s="4433"/>
      <c r="J56" s="1328"/>
    </row>
    <row r="57" spans="1:12" ht="3" customHeight="1">
      <c r="A57" s="1328"/>
      <c r="B57" s="1328"/>
      <c r="C57" s="1328"/>
      <c r="D57" s="1328"/>
      <c r="E57" s="1328"/>
      <c r="F57" s="1328"/>
      <c r="G57" s="1328"/>
      <c r="H57" s="1328"/>
      <c r="I57" s="1328"/>
      <c r="J57" s="1328"/>
    </row>
    <row r="58" spans="1:12" ht="54.75" customHeight="1">
      <c r="A58" s="4449" t="s">
        <v>3076</v>
      </c>
      <c r="B58" s="4448"/>
      <c r="C58" s="4448"/>
      <c r="D58" s="4448"/>
      <c r="E58" s="4448"/>
      <c r="F58" s="4448"/>
      <c r="G58" s="4448"/>
      <c r="H58" s="4448"/>
      <c r="I58" s="4448"/>
      <c r="J58" s="1328"/>
    </row>
    <row r="59" spans="1:12" ht="3" customHeight="1">
      <c r="A59" s="1328"/>
      <c r="B59" s="1328"/>
      <c r="C59" s="1328"/>
      <c r="D59" s="1328"/>
      <c r="E59" s="1328"/>
      <c r="F59" s="1328"/>
      <c r="G59" s="1328"/>
      <c r="H59" s="1328"/>
      <c r="I59" s="1328"/>
      <c r="J59" s="1328"/>
    </row>
    <row r="60" spans="1:12" ht="62.25" customHeight="1">
      <c r="A60" s="4448" t="s">
        <v>3610</v>
      </c>
      <c r="B60" s="4448"/>
      <c r="C60" s="4448"/>
      <c r="D60" s="4448"/>
      <c r="E60" s="4448"/>
      <c r="F60" s="4448"/>
      <c r="G60" s="4448"/>
      <c r="H60" s="4448"/>
      <c r="I60" s="4448"/>
      <c r="J60" s="4448"/>
    </row>
    <row r="61" spans="1:12" ht="3" customHeight="1"/>
    <row r="62" spans="1:12" ht="73.5" customHeight="1">
      <c r="A62" s="4433" t="s">
        <v>3611</v>
      </c>
      <c r="B62" s="4433"/>
      <c r="C62" s="4433"/>
      <c r="D62" s="4433"/>
      <c r="E62" s="4433"/>
      <c r="F62" s="4433"/>
      <c r="G62" s="4433"/>
      <c r="H62" s="4433"/>
      <c r="I62" s="4433"/>
      <c r="J62" s="4433"/>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50" t="s">
        <v>2730</v>
      </c>
      <c r="B65" s="4450"/>
      <c r="C65" s="4450"/>
      <c r="D65" s="4450"/>
      <c r="E65" s="4450"/>
      <c r="F65" s="4450"/>
      <c r="G65" s="4450"/>
      <c r="H65" s="4450"/>
      <c r="I65" s="4450"/>
      <c r="J65" s="4450"/>
      <c r="L65" s="596">
        <f>'Closing term sheet'!C135</f>
        <v>591312.5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4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67" s="4448"/>
      <c r="C67" s="4448"/>
      <c r="D67" s="4448"/>
      <c r="E67" s="4448"/>
      <c r="F67" s="4448"/>
      <c r="G67" s="4448"/>
      <c r="H67" s="4448"/>
      <c r="I67" s="4448"/>
      <c r="J67" s="601"/>
      <c r="L67" s="602">
        <f>'Part III-Sources of Funds'!I51</f>
        <v>7649235</v>
      </c>
      <c r="M67" s="603">
        <f>'Part IV-A-Uses of Funds'!$J$197</f>
        <v>900000</v>
      </c>
      <c r="N67" s="604">
        <f>'Part IV-A-Uses of Funds'!N188</f>
        <v>0.85</v>
      </c>
      <c r="O67" s="602">
        <f>'Part III-Sources of Funds'!I52</f>
        <v>3510000</v>
      </c>
      <c r="P67" s="603">
        <f>M67</f>
        <v>900000</v>
      </c>
      <c r="Q67" s="604">
        <f>'Part IV-A-Uses of Funds'!Q188</f>
        <v>0.39</v>
      </c>
    </row>
    <row r="68" spans="1:17" ht="39.75" customHeight="1">
      <c r="A68" s="44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51"/>
      <c r="C68" s="4451"/>
      <c r="D68" s="4451"/>
      <c r="E68" s="4451"/>
      <c r="F68" s="4451"/>
      <c r="G68" s="4451"/>
      <c r="H68" s="4451"/>
      <c r="I68" s="4451"/>
      <c r="J68" s="601"/>
      <c r="L68" s="1631"/>
      <c r="M68" s="1631"/>
      <c r="N68" s="1632"/>
      <c r="O68" s="1631"/>
      <c r="P68" s="1631"/>
      <c r="Q68" s="1632"/>
    </row>
    <row r="69" spans="1:17" ht="18.75" customHeight="1">
      <c r="A69" s="605" t="s">
        <v>2731</v>
      </c>
    </row>
    <row r="70" spans="1:17" ht="177" customHeight="1">
      <c r="A70" s="4448" t="s">
        <v>6409</v>
      </c>
      <c r="B70" s="4448"/>
      <c r="C70" s="4448"/>
      <c r="D70" s="4448"/>
      <c r="E70" s="4448"/>
      <c r="F70" s="4448"/>
      <c r="G70" s="4448"/>
      <c r="H70" s="4448"/>
      <c r="I70" s="4448"/>
      <c r="J70" s="4448"/>
      <c r="L70" s="606">
        <f>'Part VII-Pro Forma'!K72</f>
        <v>-594425.57186896889</v>
      </c>
      <c r="M70" s="4452" t="s">
        <v>3219</v>
      </c>
      <c r="N70" s="4453"/>
    </row>
    <row r="71" spans="1:17" ht="6" customHeight="1">
      <c r="A71" s="594"/>
    </row>
    <row r="72" spans="1:17" ht="15">
      <c r="A72" s="594" t="s">
        <v>2732</v>
      </c>
    </row>
    <row r="73" spans="1:17" ht="72.599999999999994" customHeight="1">
      <c r="A73" s="4448" t="s">
        <v>2733</v>
      </c>
      <c r="B73" s="4448"/>
      <c r="C73" s="4448"/>
      <c r="D73" s="4448"/>
      <c r="E73" s="4448"/>
      <c r="F73" s="4448"/>
      <c r="G73" s="4448"/>
      <c r="H73" s="4448"/>
      <c r="I73" s="4448"/>
      <c r="J73" s="4448"/>
    </row>
    <row r="74" spans="1:17" ht="36" customHeight="1">
      <c r="A74" s="4448" t="s">
        <v>2734</v>
      </c>
      <c r="B74" s="4448"/>
      <c r="C74" s="4448"/>
      <c r="D74" s="4448"/>
      <c r="E74" s="4448"/>
      <c r="F74" s="4448"/>
      <c r="G74" s="4448"/>
      <c r="H74" s="4448"/>
      <c r="I74" s="4448"/>
      <c r="J74" s="4448"/>
    </row>
    <row r="75" spans="1:17" ht="6" customHeight="1">
      <c r="A75" s="594"/>
    </row>
    <row r="76" spans="1:17" ht="15">
      <c r="A76" s="594" t="s">
        <v>2735</v>
      </c>
    </row>
    <row r="77" spans="1:17" ht="105.75" customHeight="1">
      <c r="A77" s="4433" t="s">
        <v>2736</v>
      </c>
      <c r="B77" s="4433"/>
      <c r="C77" s="4433"/>
      <c r="D77" s="4433"/>
      <c r="E77" s="4433"/>
      <c r="F77" s="4433"/>
      <c r="G77" s="4433"/>
      <c r="H77" s="4433"/>
      <c r="I77" s="4433"/>
      <c r="J77" s="4433"/>
    </row>
    <row r="78" spans="1:17" ht="6" customHeight="1">
      <c r="A78" s="594"/>
    </row>
    <row r="79" spans="1:17" ht="15">
      <c r="A79" s="594" t="s">
        <v>2737</v>
      </c>
    </row>
    <row r="80" spans="1:17" ht="66" customHeight="1">
      <c r="A80" s="4433" t="s">
        <v>2738</v>
      </c>
      <c r="B80" s="4433"/>
      <c r="C80" s="4433"/>
      <c r="D80" s="4433"/>
      <c r="E80" s="4433"/>
      <c r="F80" s="4433"/>
      <c r="G80" s="4433"/>
      <c r="H80" s="4433"/>
      <c r="I80" s="4433"/>
      <c r="J80" s="4433"/>
    </row>
    <row r="81" spans="1:15" s="1330" customFormat="1" ht="6" customHeight="1">
      <c r="A81" s="4433"/>
      <c r="B81" s="4433"/>
      <c r="C81" s="4433"/>
      <c r="D81" s="4433"/>
      <c r="E81" s="4433"/>
      <c r="F81" s="4433"/>
      <c r="G81" s="4433"/>
      <c r="H81" s="4433"/>
      <c r="I81" s="4433"/>
      <c r="J81" s="4433"/>
    </row>
    <row r="82" spans="1:15" ht="16.5" customHeight="1">
      <c r="A82" s="1332" t="s">
        <v>2739</v>
      </c>
      <c r="B82" s="593"/>
      <c r="C82" s="593"/>
      <c r="D82" s="1334"/>
      <c r="E82" s="593"/>
      <c r="F82" s="593"/>
      <c r="G82" s="593"/>
      <c r="H82" s="593"/>
      <c r="I82" s="593"/>
      <c r="J82" s="607"/>
    </row>
    <row r="83" spans="1:15" s="1330" customFormat="1" ht="63" customHeight="1">
      <c r="A83" s="4433" t="s">
        <v>3813</v>
      </c>
      <c r="B83" s="4433"/>
      <c r="C83" s="4433"/>
      <c r="D83" s="4433"/>
      <c r="E83" s="4433"/>
      <c r="F83" s="4433"/>
      <c r="G83" s="4433"/>
      <c r="H83" s="4433"/>
      <c r="I83" s="4433"/>
      <c r="J83" s="4433"/>
    </row>
    <row r="84" spans="1:15" s="1330" customFormat="1" ht="6" customHeight="1">
      <c r="A84" s="1328"/>
      <c r="B84" s="1328"/>
      <c r="C84" s="1328"/>
      <c r="D84" s="1328"/>
      <c r="E84" s="1328"/>
      <c r="F84" s="1328"/>
      <c r="G84" s="1328"/>
      <c r="H84" s="1328"/>
      <c r="I84" s="1328"/>
      <c r="J84" s="1328"/>
    </row>
    <row r="85" spans="1:15" ht="16.5" customHeight="1">
      <c r="A85" s="4455" t="s">
        <v>2740</v>
      </c>
      <c r="B85" s="4456"/>
      <c r="C85" s="4456"/>
      <c r="D85" s="593"/>
      <c r="E85" s="593"/>
      <c r="F85" s="593"/>
      <c r="G85" s="593"/>
      <c r="H85" s="593"/>
      <c r="I85" s="593"/>
      <c r="J85" s="607"/>
    </row>
    <row r="86" spans="1:15" ht="41.25" customHeight="1">
      <c r="A86" s="4448" t="s">
        <v>6410</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2741</v>
      </c>
    </row>
    <row r="89" spans="1:15" ht="124.15" customHeight="1">
      <c r="A89" s="4448" t="s">
        <v>2742</v>
      </c>
      <c r="B89" s="4448"/>
      <c r="C89" s="4448"/>
      <c r="D89" s="4448"/>
      <c r="E89" s="4448"/>
      <c r="F89" s="4448"/>
      <c r="G89" s="4448"/>
      <c r="H89" s="4448"/>
      <c r="I89" s="4448"/>
      <c r="J89" s="4448"/>
      <c r="L89" s="4458" t="s">
        <v>2743</v>
      </c>
      <c r="M89" s="4458"/>
      <c r="N89" s="4458"/>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8" t="s">
        <v>2745</v>
      </c>
      <c r="B92" s="4448"/>
      <c r="C92" s="4448"/>
      <c r="D92" s="4448"/>
      <c r="E92" s="4448"/>
      <c r="F92" s="4448"/>
      <c r="G92" s="4448"/>
      <c r="H92" s="4448"/>
      <c r="I92" s="4448"/>
      <c r="J92" s="4448"/>
      <c r="L92" s="4458" t="s">
        <v>2746</v>
      </c>
      <c r="M92" s="4458"/>
      <c r="N92" s="609" t="e">
        <f>'After-Tax Analysis'!G66</f>
        <v>#VALUE!</v>
      </c>
      <c r="O92" s="610" t="s">
        <v>2747</v>
      </c>
    </row>
    <row r="93" spans="1:15" ht="6" customHeight="1">
      <c r="A93" s="594"/>
    </row>
    <row r="94" spans="1:15" ht="15">
      <c r="A94" s="594" t="s">
        <v>2748</v>
      </c>
    </row>
    <row r="95" spans="1:15" ht="118.5" customHeight="1">
      <c r="A95" s="4433" t="s">
        <v>2749</v>
      </c>
      <c r="B95" s="4433"/>
      <c r="C95" s="4433"/>
      <c r="D95" s="4433"/>
      <c r="E95" s="4433"/>
      <c r="F95" s="4433"/>
      <c r="G95" s="4433"/>
      <c r="H95" s="4433"/>
      <c r="I95" s="4433"/>
      <c r="J95" s="4433"/>
    </row>
    <row r="96" spans="1:15" ht="20.25" customHeight="1">
      <c r="A96" s="4435" t="s">
        <v>2750</v>
      </c>
      <c r="B96" s="4435"/>
      <c r="C96" s="4435"/>
      <c r="D96" s="4433"/>
      <c r="E96" s="1328"/>
      <c r="F96" s="1328"/>
      <c r="G96" s="1328"/>
      <c r="H96" s="1328"/>
      <c r="I96" s="1328"/>
      <c r="J96" s="1328"/>
    </row>
    <row r="97" spans="1:14" ht="109.5" customHeight="1">
      <c r="A97" s="4446" t="s">
        <v>2751</v>
      </c>
      <c r="B97" s="4447"/>
      <c r="C97" s="4447"/>
      <c r="D97" s="4447"/>
      <c r="E97" s="4447"/>
      <c r="F97" s="4447"/>
      <c r="G97" s="4447"/>
      <c r="H97" s="4447"/>
      <c r="I97" s="4447"/>
      <c r="J97" s="4447"/>
    </row>
    <row r="98" spans="1:14" ht="11.25" customHeight="1">
      <c r="A98" s="594"/>
    </row>
    <row r="99" spans="1:14" ht="15">
      <c r="A99" s="594" t="s">
        <v>2752</v>
      </c>
    </row>
    <row r="100" spans="1:14" ht="110.45" customHeight="1">
      <c r="A100" s="4450" t="s">
        <v>2753</v>
      </c>
      <c r="B100" s="4450"/>
      <c r="C100" s="4450"/>
      <c r="D100" s="4450"/>
      <c r="E100" s="4450"/>
      <c r="F100" s="4450"/>
      <c r="G100" s="4450"/>
      <c r="H100" s="4450"/>
      <c r="I100" s="4450"/>
      <c r="J100" s="4450"/>
      <c r="L100" s="1041">
        <f>'Part VII-Pro Forma'!K72</f>
        <v>-594425.57186896889</v>
      </c>
      <c r="M100" s="4454" t="s">
        <v>2754</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5" t="s">
        <v>2755</v>
      </c>
      <c r="B104" s="4435"/>
      <c r="C104" s="4435"/>
      <c r="D104" s="1328"/>
      <c r="E104" s="1328"/>
      <c r="F104" s="1328"/>
      <c r="G104" s="1328"/>
      <c r="H104" s="1328"/>
      <c r="I104" s="1328"/>
      <c r="J104" s="607"/>
    </row>
    <row r="105" spans="1:14" ht="37.5" customHeight="1">
      <c r="A105" s="4448" t="s">
        <v>2756</v>
      </c>
      <c r="B105" s="4448"/>
      <c r="C105" s="4448"/>
      <c r="D105" s="4448"/>
      <c r="E105" s="4448"/>
      <c r="F105" s="4448"/>
      <c r="G105" s="4448"/>
      <c r="H105" s="4448"/>
      <c r="I105" s="4448"/>
      <c r="J105" s="4448"/>
    </row>
    <row r="106" spans="1:14" ht="6" customHeight="1">
      <c r="A106" s="594"/>
    </row>
    <row r="107" spans="1:14" ht="15">
      <c r="A107" s="594" t="s">
        <v>2757</v>
      </c>
    </row>
    <row r="108" spans="1:14" ht="43.5" customHeight="1">
      <c r="A108" s="4433" t="s">
        <v>2758</v>
      </c>
      <c r="B108" s="4433"/>
      <c r="C108" s="4433"/>
      <c r="D108" s="4433"/>
      <c r="E108" s="4433"/>
      <c r="F108" s="4433"/>
      <c r="G108" s="4433"/>
      <c r="H108" s="4433"/>
      <c r="I108" s="4433"/>
      <c r="J108" s="4433"/>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4" t="s">
        <v>6274</v>
      </c>
      <c r="B120" s="4444"/>
      <c r="C120" s="4444"/>
      <c r="D120" s="4444"/>
      <c r="E120" s="4445"/>
      <c r="F120" s="1560" t="s">
        <v>6275</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2021-014  Dunbar Court</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2767</v>
      </c>
      <c r="B8" s="582"/>
      <c r="C8" s="4462" t="str">
        <f>'Part I-Project Information'!F35</f>
        <v>Dunbar Court</v>
      </c>
      <c r="D8" s="4462"/>
      <c r="E8" s="1089" t="str">
        <f>'Part I-Project Information'!O7</f>
        <v>2021-014</v>
      </c>
      <c r="F8" s="618" t="s">
        <v>2768</v>
      </c>
      <c r="G8" s="617"/>
      <c r="H8" s="4462" t="str">
        <f>CONCATENATE('Part I-Project Information'!F39,", ",'Part I-Project Information'!J40)</f>
        <v>Byron, Peach</v>
      </c>
      <c r="I8" s="4462"/>
      <c r="J8" s="4462"/>
      <c r="K8" s="4462"/>
      <c r="L8" s="579"/>
      <c r="M8" s="619"/>
    </row>
    <row r="9" spans="1:14" ht="15.75">
      <c r="A9" s="582" t="s">
        <v>2770</v>
      </c>
      <c r="B9" s="582"/>
      <c r="C9" s="4462" t="s">
        <v>1691</v>
      </c>
      <c r="D9" s="4462"/>
      <c r="E9" s="617"/>
      <c r="F9" s="618" t="s">
        <v>2771</v>
      </c>
      <c r="G9" s="617"/>
      <c r="H9" s="4462" t="str">
        <f>'Part II-Development Team'!H6</f>
        <v>Dunbar Court, LP</v>
      </c>
      <c r="I9" s="4462"/>
      <c r="J9" s="4462"/>
      <c r="K9" s="4462"/>
      <c r="L9" s="4462"/>
      <c r="M9" s="619"/>
    </row>
    <row r="10" spans="1:14" ht="15.75">
      <c r="A10" s="582" t="s">
        <v>2773</v>
      </c>
      <c r="B10" s="579"/>
      <c r="C10" s="1089" t="str">
        <f>'Part II-Development Team'!H15</f>
        <v>Dunbar Court GP, Inc.</v>
      </c>
      <c r="D10" s="617"/>
      <c r="E10" s="617"/>
      <c r="F10" s="618" t="s">
        <v>3253</v>
      </c>
      <c r="G10" s="617"/>
      <c r="H10" s="4462" t="str">
        <f>'Part II-Development Team'!H34</f>
        <v>Affordable Equity Partners, Inc</v>
      </c>
      <c r="I10" s="4462"/>
      <c r="J10" s="4462"/>
      <c r="K10" s="4462" t="str">
        <f>'Part II-Development Team'!H40</f>
        <v>Affordable Equity Partners, Inc.</v>
      </c>
      <c r="L10" s="4462"/>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2" t="str">
        <f>'Part II-Development Team'!H55</f>
        <v>Bennett &amp; Company, LLC</v>
      </c>
      <c r="I11" s="4462"/>
      <c r="J11" s="4462"/>
      <c r="K11" s="4462">
        <f>'Part II-Development Team'!H61</f>
        <v>0</v>
      </c>
      <c r="L11" s="4462"/>
      <c r="M11" s="4462">
        <f>'Part II-Development Team'!H67</f>
        <v>0</v>
      </c>
      <c r="N11" s="4462"/>
    </row>
    <row r="12" spans="1:14" ht="15.75">
      <c r="A12" s="582" t="s">
        <v>2775</v>
      </c>
      <c r="B12" s="579"/>
      <c r="C12" s="1089" t="str">
        <f>'Part II-Development Team'!H87</f>
        <v>Fairway Construction Company, Inc</v>
      </c>
      <c r="D12" s="617"/>
      <c r="E12" s="617"/>
      <c r="F12" s="618" t="s">
        <v>2776</v>
      </c>
      <c r="G12" s="617"/>
      <c r="H12" s="4462" t="str">
        <f>'Part II-Development Team'!H93</f>
        <v>Fairway Management Co., Inc</v>
      </c>
      <c r="I12" s="4462"/>
      <c r="J12" s="4462"/>
      <c r="K12" s="4462"/>
      <c r="L12" s="579"/>
      <c r="M12" s="579"/>
    </row>
    <row r="13" spans="1:14" ht="15.75">
      <c r="A13" s="582" t="s">
        <v>2777</v>
      </c>
      <c r="B13" s="618"/>
      <c r="C13" s="578">
        <f>'Part VI-Revenues &amp; Expenses'!$P$67</f>
        <v>48</v>
      </c>
      <c r="E13" s="1036">
        <f>'Part VI-Revenues &amp; Expenses'!$P$63</f>
        <v>48</v>
      </c>
      <c r="F13" s="618" t="s">
        <v>3605</v>
      </c>
      <c r="G13" s="617"/>
      <c r="H13" s="1090">
        <f>'Part I-Project Information'!H71</f>
        <v>4</v>
      </c>
      <c r="I13" s="1037"/>
      <c r="J13" s="1037"/>
      <c r="K13" s="1090">
        <f>'Part I-Project Information'!P70</f>
        <v>54036</v>
      </c>
      <c r="L13" s="579"/>
      <c r="M13" s="579"/>
    </row>
    <row r="14" spans="1:14" ht="15.75">
      <c r="A14" s="582" t="s">
        <v>3069</v>
      </c>
      <c r="B14" s="579"/>
      <c r="C14" s="1090" t="str">
        <f>'Part I-Project Information'!H77</f>
        <v>Family</v>
      </c>
      <c r="D14" s="4462" t="str">
        <f>IF('Part I-Project Information'!N69=0,"",'Part I-Project Information'!N69)</f>
        <v/>
      </c>
      <c r="E14" s="4462"/>
      <c r="F14" s="618" t="s">
        <v>2778</v>
      </c>
      <c r="G14" s="617"/>
      <c r="H14" s="4467" t="s">
        <v>3221</v>
      </c>
      <c r="I14" s="4467"/>
      <c r="J14" s="4467"/>
      <c r="K14" s="4467" t="s">
        <v>3221</v>
      </c>
      <c r="L14" s="4467"/>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11656720</v>
      </c>
      <c r="D18" s="1071">
        <f>IF(C18=0,"",$C$29/C18)</f>
        <v>4.1177964298704954E-2</v>
      </c>
      <c r="E18" s="617" t="s">
        <v>3073</v>
      </c>
      <c r="F18" s="618" t="s">
        <v>3074</v>
      </c>
      <c r="G18" s="617"/>
      <c r="H18" s="4461">
        <f>'Part IV-A-Uses of Funds'!C49</f>
        <v>7959252</v>
      </c>
      <c r="I18" s="4461"/>
      <c r="J18" s="1070">
        <f>IF(H18=0,"",$C$29/H18)</f>
        <v>6.0307174593793485E-2</v>
      </c>
      <c r="K18" s="4462" t="s">
        <v>3075</v>
      </c>
      <c r="L18" s="4462"/>
      <c r="M18" s="579"/>
    </row>
    <row r="19" spans="1:13" ht="15.75">
      <c r="A19" s="582" t="s">
        <v>2780</v>
      </c>
      <c r="B19" s="579"/>
      <c r="C19" s="1091">
        <f>C18/C13</f>
        <v>242848.33333333334</v>
      </c>
      <c r="D19" s="617"/>
      <c r="E19" s="579"/>
      <c r="F19" s="582" t="s">
        <v>2780</v>
      </c>
      <c r="G19" s="579"/>
      <c r="H19" s="4463">
        <f>H18/C13</f>
        <v>165817.75</v>
      </c>
      <c r="I19" s="4463"/>
      <c r="J19" s="579"/>
      <c r="K19" s="579"/>
      <c r="L19" s="579"/>
      <c r="M19" s="579"/>
    </row>
    <row r="20" spans="1:13" ht="15.75">
      <c r="A20" s="582" t="s">
        <v>2781</v>
      </c>
      <c r="B20" s="579"/>
      <c r="C20" s="1093">
        <f>C18/K13</f>
        <v>215.72137093789325</v>
      </c>
      <c r="D20" s="622"/>
      <c r="E20" s="623"/>
      <c r="F20" s="582" t="s">
        <v>2781</v>
      </c>
      <c r="G20" s="579"/>
      <c r="H20" s="4464">
        <f>H18/K13</f>
        <v>147.29535864978902</v>
      </c>
      <c r="I20" s="4463"/>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United Bank (Capital Magnet Funds)</v>
      </c>
      <c r="C25" s="629">
        <f>'Part III-Sources of Funds'!I40</f>
        <v>480000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480000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11159235</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480000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4.1177964298704954E-2</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6.0307174593793485E-2</v>
      </c>
      <c r="D40" s="579"/>
      <c r="E40" s="579"/>
      <c r="F40" s="582"/>
      <c r="G40" s="582" t="s">
        <v>2801</v>
      </c>
      <c r="H40" s="579"/>
      <c r="I40" s="579"/>
      <c r="K40" s="631">
        <f>C30/C18</f>
        <v>0.9573220425642891</v>
      </c>
      <c r="L40" s="579"/>
      <c r="M40" s="579"/>
    </row>
    <row r="46" spans="1:13" ht="15.75">
      <c r="A46" s="642" t="s">
        <v>2802</v>
      </c>
      <c r="B46" s="612"/>
      <c r="C46" s="612"/>
      <c r="D46" s="612"/>
      <c r="E46" s="612"/>
      <c r="F46" s="612"/>
      <c r="G46" s="612"/>
      <c r="H46" s="612"/>
      <c r="I46" s="612"/>
      <c r="J46" s="612"/>
      <c r="K46" s="612"/>
      <c r="L46" s="612"/>
      <c r="M46" s="579"/>
    </row>
    <row r="47" spans="1:13" ht="15.75">
      <c r="A47" s="642" t="str">
        <f>C8</f>
        <v>Dunbar Court</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5" t="s">
        <v>2805</v>
      </c>
      <c r="L50" s="4466"/>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340080</v>
      </c>
      <c r="D52" s="648"/>
      <c r="E52" s="648">
        <f>$C$52</f>
        <v>340080</v>
      </c>
      <c r="F52" s="648"/>
      <c r="G52" s="648">
        <f>$C$52</f>
        <v>340080</v>
      </c>
      <c r="H52" s="648"/>
      <c r="I52" s="648">
        <f>$C$52</f>
        <v>340080</v>
      </c>
      <c r="J52" s="648"/>
      <c r="K52" s="648">
        <f>$C$52</f>
        <v>340080</v>
      </c>
      <c r="L52" s="649"/>
      <c r="M52" s="27"/>
      <c r="N52" s="27"/>
    </row>
    <row r="53" spans="1:14" s="579" customFormat="1" ht="18.75" customHeight="1">
      <c r="B53" s="647" t="s">
        <v>2809</v>
      </c>
      <c r="C53" s="648">
        <f>'Part VII-Pro Forma'!B16</f>
        <v>6801.6</v>
      </c>
      <c r="D53" s="648"/>
      <c r="E53" s="648">
        <f>$C$53</f>
        <v>6801.6</v>
      </c>
      <c r="F53" s="648"/>
      <c r="G53" s="648">
        <f>$C$53</f>
        <v>6801.6</v>
      </c>
      <c r="H53" s="648"/>
      <c r="I53" s="648">
        <f>$C$53</f>
        <v>6801.6</v>
      </c>
      <c r="J53" s="648"/>
      <c r="K53" s="648">
        <f>$C$53</f>
        <v>6801.6</v>
      </c>
      <c r="L53" s="649"/>
      <c r="M53" s="27"/>
      <c r="N53" s="27"/>
    </row>
    <row r="54" spans="1:14" s="579" customFormat="1" ht="18.75" customHeight="1">
      <c r="B54" s="647" t="s">
        <v>2807</v>
      </c>
      <c r="C54" s="648">
        <f>'Part VII-Pro Forma'!B17</f>
        <v>-24281.712</v>
      </c>
      <c r="D54" s="648"/>
      <c r="E54" s="648">
        <f>-($C$52+E53)*F50</f>
        <v>-34688.159999999996</v>
      </c>
      <c r="F54" s="650"/>
      <c r="G54" s="648">
        <f>-($C$52+G53)*0.07</f>
        <v>-24281.712</v>
      </c>
      <c r="H54" s="648"/>
      <c r="I54" s="648">
        <f>-($C$52+I53)*0.07</f>
        <v>-24281.712</v>
      </c>
      <c r="J54" s="648"/>
      <c r="K54" s="648">
        <f>-($C$52+K53)*L54</f>
        <v>-34688.159999999996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322599.88799999998</v>
      </c>
      <c r="D56" s="648"/>
      <c r="E56" s="654">
        <f>SUM(E52:E55)</f>
        <v>312193.44</v>
      </c>
      <c r="F56" s="648"/>
      <c r="G56" s="654">
        <f>SUM(G52:G55)</f>
        <v>322599.88799999998</v>
      </c>
      <c r="H56" s="648"/>
      <c r="I56" s="654">
        <f>SUM(I52:I55)</f>
        <v>322599.88799999998</v>
      </c>
      <c r="J56" s="648"/>
      <c r="K56" s="654">
        <f>SUM(K52:K55)</f>
        <v>312193.44</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81958</v>
      </c>
      <c r="D58" s="648"/>
      <c r="E58" s="648">
        <f>$C$58</f>
        <v>81958</v>
      </c>
      <c r="F58" s="648"/>
      <c r="G58" s="648">
        <f>$C$58</f>
        <v>81958</v>
      </c>
      <c r="H58" s="648"/>
      <c r="I58" s="648">
        <f>$C$58</f>
        <v>81958</v>
      </c>
      <c r="J58" s="648"/>
      <c r="K58" s="648">
        <f>$C$58</f>
        <v>81958</v>
      </c>
      <c r="L58" s="649"/>
      <c r="M58" s="27"/>
      <c r="N58" s="27"/>
    </row>
    <row r="59" spans="1:14" s="579" customFormat="1" ht="18.75" customHeight="1">
      <c r="B59" s="647" t="s">
        <v>2812</v>
      </c>
      <c r="C59" s="648">
        <f>+'Part VI-Revenues &amp; Expenses'!F244</f>
        <v>44000</v>
      </c>
      <c r="D59" s="648"/>
      <c r="E59" s="648">
        <f>$C$59</f>
        <v>44000</v>
      </c>
      <c r="F59" s="648"/>
      <c r="G59" s="648">
        <f>$C$59</f>
        <v>44000</v>
      </c>
      <c r="H59" s="648"/>
      <c r="I59" s="648">
        <f>$C$59</f>
        <v>44000</v>
      </c>
      <c r="J59" s="648"/>
      <c r="K59" s="648">
        <f>$C$59*(1+$L$59)</f>
        <v>45760</v>
      </c>
      <c r="L59" s="656">
        <v>0.04</v>
      </c>
      <c r="M59" s="27"/>
      <c r="N59" s="27"/>
    </row>
    <row r="60" spans="1:14" s="579" customFormat="1" ht="18.75" customHeight="1">
      <c r="B60" s="647" t="s">
        <v>1326</v>
      </c>
      <c r="C60" s="648">
        <f>+'Part VI-Revenues &amp; Expenses'!L237</f>
        <v>25160</v>
      </c>
      <c r="D60" s="648"/>
      <c r="E60" s="648">
        <f>$C$60</f>
        <v>25160</v>
      </c>
      <c r="F60" s="648"/>
      <c r="G60" s="648">
        <f>$C$60</f>
        <v>25160</v>
      </c>
      <c r="H60" s="648"/>
      <c r="I60" s="648">
        <f>$C$60*(1+$J$50)</f>
        <v>25914.799999999999</v>
      </c>
      <c r="J60" s="650"/>
      <c r="K60" s="648">
        <f>$C$60*(1+$J$50)</f>
        <v>25914.799999999999</v>
      </c>
      <c r="L60" s="651">
        <v>0.03</v>
      </c>
      <c r="M60" s="27"/>
      <c r="N60" s="27"/>
    </row>
    <row r="61" spans="1:14" s="579" customFormat="1" ht="18.75" customHeight="1">
      <c r="B61" s="647" t="s">
        <v>1327</v>
      </c>
      <c r="C61" s="648">
        <f>+'Part VI-Revenues &amp; Expenses'!L244</f>
        <v>60200</v>
      </c>
      <c r="D61" s="648"/>
      <c r="E61" s="648">
        <f>$C$61</f>
        <v>60200</v>
      </c>
      <c r="F61" s="648"/>
      <c r="G61" s="648">
        <f>$C$61*(1+H50)</f>
        <v>63210</v>
      </c>
      <c r="H61" s="650"/>
      <c r="I61" s="648">
        <f>$C$61</f>
        <v>60200</v>
      </c>
      <c r="J61" s="648"/>
      <c r="K61" s="648">
        <f>$C$61*(1+$L$61)</f>
        <v>63210</v>
      </c>
      <c r="L61" s="651">
        <v>0.05</v>
      </c>
      <c r="M61" s="27"/>
      <c r="N61" s="27"/>
    </row>
    <row r="62" spans="1:14" s="579" customFormat="1" ht="18.75" customHeight="1">
      <c r="B62" s="653" t="s">
        <v>2813</v>
      </c>
      <c r="C62" s="654">
        <f>SUM(C58:C61)</f>
        <v>211318</v>
      </c>
      <c r="D62" s="648"/>
      <c r="E62" s="654">
        <f>SUM(E58:E61)</f>
        <v>211318</v>
      </c>
      <c r="F62" s="648"/>
      <c r="G62" s="654">
        <f>SUM(G58:G61)</f>
        <v>214328</v>
      </c>
      <c r="H62" s="648"/>
      <c r="I62" s="654">
        <f>SUM(I58:I61)</f>
        <v>212072.8</v>
      </c>
      <c r="J62" s="648"/>
      <c r="K62" s="654">
        <f>SUM(K58:K61)</f>
        <v>216842.8</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111281.88799999998</v>
      </c>
      <c r="D64" s="660"/>
      <c r="E64" s="660">
        <f>E56-E62</f>
        <v>100875.44</v>
      </c>
      <c r="F64" s="660"/>
      <c r="G64" s="660">
        <f>G56-G62</f>
        <v>108271.88799999998</v>
      </c>
      <c r="H64" s="660"/>
      <c r="I64" s="660">
        <f>I56-I62</f>
        <v>110527.08799999999</v>
      </c>
      <c r="J64" s="660"/>
      <c r="K64" s="660">
        <f>K56-K62</f>
        <v>95350.640000000014</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12000</v>
      </c>
      <c r="D66" s="655"/>
      <c r="E66" s="655">
        <f>$C$66</f>
        <v>12000</v>
      </c>
      <c r="F66" s="655"/>
      <c r="G66" s="655">
        <f>$C$66</f>
        <v>12000</v>
      </c>
      <c r="H66" s="655"/>
      <c r="I66" s="655">
        <f>$C$66</f>
        <v>12000</v>
      </c>
      <c r="J66" s="655"/>
      <c r="K66" s="655">
        <f>$C$66</f>
        <v>12000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23040</v>
      </c>
      <c r="D68" s="655"/>
      <c r="E68" s="655">
        <f>$C$68</f>
        <v>23040</v>
      </c>
      <c r="F68" s="655"/>
      <c r="G68" s="655">
        <f>$C$68</f>
        <v>23040</v>
      </c>
      <c r="H68" s="655"/>
      <c r="I68" s="655">
        <f>$C$68</f>
        <v>23040</v>
      </c>
      <c r="J68" s="655"/>
      <c r="K68" s="655">
        <f>$C$68</f>
        <v>23040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76241.887999999977</v>
      </c>
      <c r="D70" s="664"/>
      <c r="E70" s="663">
        <f>E64-E66-E68</f>
        <v>65835.44</v>
      </c>
      <c r="F70" s="664"/>
      <c r="G70" s="663">
        <f>G64-G66-G68</f>
        <v>73231.887999999977</v>
      </c>
      <c r="H70" s="664"/>
      <c r="I70" s="663">
        <f>I64-I66-I68</f>
        <v>75487.087999999989</v>
      </c>
      <c r="J70" s="664"/>
      <c r="K70" s="663">
        <f>K64-K66-K68</f>
        <v>60310.640000000014</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1.4287763040527923</v>
      </c>
      <c r="D72" s="666"/>
      <c r="E72" s="1072">
        <f>-E70/E75</f>
        <v>1.233759014977297</v>
      </c>
      <c r="F72" s="666"/>
      <c r="G72" s="1072">
        <f>-G70/G75</f>
        <v>1.3723687728647018</v>
      </c>
      <c r="H72" s="666"/>
      <c r="I72" s="1072">
        <f>-I70/I75</f>
        <v>1.4146313191555264</v>
      </c>
      <c r="J72" s="666"/>
      <c r="K72" s="1072">
        <f>-K70/K75</f>
        <v>1.1302240221839541</v>
      </c>
      <c r="L72" s="667"/>
      <c r="M72" s="243"/>
      <c r="N72" s="243"/>
    </row>
    <row r="73" spans="1:14" s="579" customFormat="1" ht="18.75" customHeight="1">
      <c r="A73" s="27"/>
      <c r="B73" s="647" t="s">
        <v>2819</v>
      </c>
      <c r="C73" s="1073">
        <f>C76/C62</f>
        <v>0.10827387703988607</v>
      </c>
      <c r="D73" s="668"/>
      <c r="E73" s="1073">
        <f>E76/E62</f>
        <v>5.9028436518965118E-2</v>
      </c>
      <c r="F73" s="668"/>
      <c r="G73" s="1073">
        <f>G76/G62</f>
        <v>9.2709394704913239E-2</v>
      </c>
      <c r="H73" s="668"/>
      <c r="I73" s="1073">
        <f>I76/I62</f>
        <v>0.10432935835389856</v>
      </c>
      <c r="J73" s="668"/>
      <c r="K73" s="1073">
        <f>K76/K62</f>
        <v>3.2046123497366213E-2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-53361.668851685332</v>
      </c>
      <c r="D75" s="648"/>
      <c r="E75" s="648">
        <f>$C$75</f>
        <v>-53361.668851685332</v>
      </c>
      <c r="F75" s="648"/>
      <c r="G75" s="648">
        <f>$C$75</f>
        <v>-53361.668851685332</v>
      </c>
      <c r="H75" s="648"/>
      <c r="I75" s="648">
        <f>$C$75</f>
        <v>-53361.668851685332</v>
      </c>
      <c r="J75" s="648"/>
      <c r="K75" s="648">
        <f>$C$75</f>
        <v>-53361.668851685332</v>
      </c>
      <c r="L75" s="33"/>
      <c r="M75" s="27"/>
      <c r="N75" s="27"/>
    </row>
    <row r="76" spans="1:14" s="579" customFormat="1" ht="18.75" customHeight="1">
      <c r="A76" s="27"/>
      <c r="B76" s="647" t="s">
        <v>1122</v>
      </c>
      <c r="C76" s="648">
        <f>C70+C75</f>
        <v>22880.219148314645</v>
      </c>
      <c r="D76" s="648"/>
      <c r="E76" s="648">
        <f>E70+E75</f>
        <v>12473.77114831467</v>
      </c>
      <c r="F76" s="648"/>
      <c r="G76" s="648">
        <f>G70+G75</f>
        <v>19870.219148314645</v>
      </c>
      <c r="H76" s="648"/>
      <c r="I76" s="648">
        <f>I70+I75</f>
        <v>22125.419148314657</v>
      </c>
      <c r="J76" s="648"/>
      <c r="K76" s="648">
        <f>K70+K75</f>
        <v>6948.9711483146821</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3569</v>
      </c>
    </row>
    <row r="3" spans="1:7" ht="3" customHeight="1"/>
    <row r="4" spans="1:7">
      <c r="A4" s="1020" t="s">
        <v>3570</v>
      </c>
      <c r="B4" s="1021">
        <f>+'Part IV-A-Uses of Funds'!$G$146</f>
        <v>11656720</v>
      </c>
    </row>
    <row r="5" spans="1:7">
      <c r="A5" s="1020" t="s">
        <v>3601</v>
      </c>
      <c r="B5" s="1021">
        <f>+B18+B26+B38</f>
        <v>476399.77419835795</v>
      </c>
    </row>
    <row r="6" spans="1:7">
      <c r="A6" s="1020" t="s">
        <v>3571</v>
      </c>
      <c r="B6" s="1022">
        <f>+B5-B4</f>
        <v>-11180320.225801643</v>
      </c>
    </row>
    <row r="7" spans="1:7">
      <c r="A7" s="1020" t="s">
        <v>3572</v>
      </c>
      <c r="B7" s="1023">
        <f>+B6/B4</f>
        <v>-0.95913088980447703</v>
      </c>
    </row>
    <row r="8" spans="1:7" ht="9" customHeight="1"/>
    <row r="9" spans="1:7">
      <c r="A9" s="1020" t="s">
        <v>3573</v>
      </c>
      <c r="B9" s="1021">
        <f>+B18+B26+B33</f>
        <v>476289.77419835795</v>
      </c>
    </row>
    <row r="10" spans="1:7">
      <c r="A10" s="1020" t="s">
        <v>3571</v>
      </c>
      <c r="B10" s="1022">
        <f>+B9-B4</f>
        <v>-11180430.225801643</v>
      </c>
    </row>
    <row r="11" spans="1:7">
      <c r="A11" s="1020" t="s">
        <v>3572</v>
      </c>
      <c r="B11" s="1023">
        <f>+B10/B4</f>
        <v>-0.95914032642129543</v>
      </c>
    </row>
    <row r="12" spans="1:7" ht="24" customHeight="1"/>
    <row r="13" spans="1:7">
      <c r="A13" s="1019" t="s">
        <v>3574</v>
      </c>
      <c r="D13" s="1078" t="s">
        <v>3818</v>
      </c>
      <c r="E13" s="1079"/>
    </row>
    <row r="14" spans="1:7">
      <c r="A14" s="1020" t="s">
        <v>3575</v>
      </c>
      <c r="B14" s="1024">
        <f>+SUM('Part III-Sources of Funds'!L51:M52)</f>
        <v>11160000</v>
      </c>
      <c r="D14" s="1079"/>
      <c r="E14" s="1079"/>
    </row>
    <row r="15" spans="1:7">
      <c r="A15" s="1020" t="s">
        <v>3576</v>
      </c>
      <c r="B15" s="1025">
        <f>+'Part IV-A-Uses of Funds'!J186</f>
        <v>1117661</v>
      </c>
      <c r="D15" s="1079" t="s">
        <v>1953</v>
      </c>
      <c r="G15" s="1080">
        <f>'Part IV-A-Uses of Funds'!J168</f>
        <v>10500287</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4993936.4972000001</v>
      </c>
    </row>
    <row r="20" spans="1:7">
      <c r="A20" s="1020" t="s">
        <v>3579</v>
      </c>
      <c r="B20" s="1024">
        <f>+B18-B14</f>
        <v>-11160000</v>
      </c>
      <c r="D20" s="1079" t="s">
        <v>3823</v>
      </c>
      <c r="G20" s="1082">
        <f>+B14-G19</f>
        <v>6166063.5027999999</v>
      </c>
    </row>
    <row r="21" spans="1:7">
      <c r="A21" s="1020" t="s">
        <v>3580</v>
      </c>
      <c r="B21" s="1023">
        <f>+B20/B14</f>
        <v>-1</v>
      </c>
      <c r="D21" s="1079" t="s">
        <v>3824</v>
      </c>
      <c r="G21" s="1079" t="str">
        <f>+IF(G20&gt;(B28+B35),"No","Yes")</f>
        <v>No</v>
      </c>
    </row>
    <row r="22" spans="1:7" ht="24" customHeight="1"/>
    <row r="23" spans="1:7">
      <c r="A23" s="1019" t="s">
        <v>3581</v>
      </c>
    </row>
    <row r="24" spans="1:7">
      <c r="A24" s="1020" t="s">
        <v>3582</v>
      </c>
      <c r="B24" s="1027">
        <f>+SUM('Part III-Sources of Funds'!I40:J43)</f>
        <v>480000</v>
      </c>
    </row>
    <row r="25" spans="1:7">
      <c r="A25" s="1020" t="s">
        <v>3583</v>
      </c>
      <c r="B25" s="1028">
        <f>IF('Part III-Sources of Funds'!E6="Yes","N/A",MAX(B46:P46))</f>
        <v>-51.156915656807541</v>
      </c>
    </row>
    <row r="26" spans="1:7">
      <c r="A26" s="1020" t="s">
        <v>3584</v>
      </c>
      <c r="B26" s="1018">
        <f>IFERROR(PV('Part III-Sources of Funds'!K40,'Part III-Sources of Funds'!L40,B25+B45),B24)</f>
        <v>476289.77419835795</v>
      </c>
    </row>
    <row r="27" spans="1:7" ht="9" customHeight="1">
      <c r="B27" s="1018"/>
    </row>
    <row r="28" spans="1:7">
      <c r="A28" s="1020" t="s">
        <v>3585</v>
      </c>
      <c r="B28" s="1029">
        <f>+B26-B24</f>
        <v>-3710.2258016420528</v>
      </c>
      <c r="C28" s="1030"/>
    </row>
    <row r="29" spans="1:7">
      <c r="A29" s="1020" t="s">
        <v>3580</v>
      </c>
      <c r="B29" s="1031">
        <f>+B28/B24</f>
        <v>-7.7296370867542766E-3</v>
      </c>
    </row>
    <row r="30" spans="1:7" ht="24" customHeight="1"/>
    <row r="31" spans="1:7">
      <c r="A31" s="1019" t="s">
        <v>3510</v>
      </c>
    </row>
    <row r="32" spans="1:7">
      <c r="A32" s="1020" t="s">
        <v>3586</v>
      </c>
      <c r="B32" s="1032">
        <f>+'Part III-Sources of Funds'!I45</f>
        <v>17375</v>
      </c>
    </row>
    <row r="33" spans="1:11">
      <c r="A33" s="1020" t="s">
        <v>3587</v>
      </c>
      <c r="B33" s="1018"/>
    </row>
    <row r="34" spans="1:11" ht="9" customHeight="1">
      <c r="B34" s="1018"/>
    </row>
    <row r="35" spans="1:11">
      <c r="A35" s="1020" t="s">
        <v>3588</v>
      </c>
      <c r="B35" s="1032">
        <f>+B33-B32</f>
        <v>-17375</v>
      </c>
    </row>
    <row r="36" spans="1:11">
      <c r="A36" s="1020" t="s">
        <v>3589</v>
      </c>
      <c r="B36" s="1017">
        <f>+B35/B32</f>
        <v>-1</v>
      </c>
    </row>
    <row r="37" spans="1:11" ht="24" customHeight="1">
      <c r="B37" s="1018"/>
    </row>
    <row r="38" spans="1:11">
      <c r="A38" s="1019" t="s">
        <v>3590</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3591</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76241.887999999977</v>
      </c>
      <c r="C44" s="1021">
        <f>+'Part VII-Pro Forma'!C25</f>
        <v>75303.345760000026</v>
      </c>
      <c r="D44" s="1021">
        <f>+'Part VII-Pro Forma'!D25</f>
        <v>74271.857275200033</v>
      </c>
      <c r="E44" s="1021">
        <f>+'Part VII-Pro Forma'!E25</f>
        <v>73143.973758703927</v>
      </c>
      <c r="F44" s="1021">
        <f>+'Part VII-Pro Forma'!F25</f>
        <v>71914.117152018094</v>
      </c>
      <c r="G44" s="1021">
        <f>+'Part VII-Pro Forma'!G25</f>
        <v>70579.575730742697</v>
      </c>
      <c r="H44" s="1021">
        <f>+'Part VII-Pro Forma'!H25</f>
        <v>69135.499568112311</v>
      </c>
      <c r="I44" s="1021">
        <f>+'Part VII-Pro Forma'!I25</f>
        <v>67576.895851911817</v>
      </c>
      <c r="J44" s="1021">
        <f>+'Part VII-Pro Forma'!J25</f>
        <v>65898.624050160564</v>
      </c>
      <c r="K44" s="1021">
        <f>+'Part VII-Pro Forma'!K25</f>
        <v>64095.390920810562</v>
      </c>
    </row>
    <row r="45" spans="1:11">
      <c r="A45" s="1020" t="s">
        <v>3592</v>
      </c>
      <c r="B45" s="1021">
        <f>SUM('Part VII-Pro Forma'!B26:B29)</f>
        <v>-53361.668851685332</v>
      </c>
      <c r="C45" s="1021">
        <f>SUM('Part VII-Pro Forma'!C26:C29)</f>
        <v>-53361.668851685332</v>
      </c>
      <c r="D45" s="1021">
        <f>SUM('Part VII-Pro Forma'!D26:D29)</f>
        <v>-53361.668851685332</v>
      </c>
      <c r="E45" s="1021">
        <f>SUM('Part VII-Pro Forma'!E26:E29)</f>
        <v>-53361.668851685332</v>
      </c>
      <c r="F45" s="1021">
        <f>SUM('Part VII-Pro Forma'!F26:F29)</f>
        <v>-53361.668851685332</v>
      </c>
      <c r="G45" s="1021">
        <f>SUM('Part VII-Pro Forma'!G26:G29)</f>
        <v>-53361.668851685332</v>
      </c>
      <c r="H45" s="1021">
        <f>SUM('Part VII-Pro Forma'!H26:H29)</f>
        <v>-53361.668851685332</v>
      </c>
      <c r="I45" s="1021">
        <f>SUM('Part VII-Pro Forma'!I26:I29)</f>
        <v>-53361.668851685332</v>
      </c>
      <c r="J45" s="1021">
        <f>SUM('Part VII-Pro Forma'!J26:J29)</f>
        <v>-53361.668851685332</v>
      </c>
      <c r="K45" s="1021">
        <f>SUM('Part VII-Pro Forma'!K26:K29)</f>
        <v>-53361.668851685332</v>
      </c>
    </row>
    <row r="46" spans="1:11">
      <c r="A46" s="1020" t="s">
        <v>3593</v>
      </c>
      <c r="B46" s="1022">
        <f t="shared" ref="B46:K46" si="0">-B44/B48-B45</f>
        <v>-10173.237814981316</v>
      </c>
      <c r="C46" s="1022">
        <f t="shared" si="0"/>
        <v>-9391.1192816480252</v>
      </c>
      <c r="D46" s="1022">
        <f t="shared" si="0"/>
        <v>-8531.5455443147002</v>
      </c>
      <c r="E46" s="1022">
        <f t="shared" si="0"/>
        <v>-7591.6426139012765</v>
      </c>
      <c r="F46" s="1022">
        <f t="shared" si="0"/>
        <v>-6566.762108329749</v>
      </c>
      <c r="G46" s="1022">
        <f t="shared" si="0"/>
        <v>-5454.6442572669184</v>
      </c>
      <c r="H46" s="1022">
        <f t="shared" si="0"/>
        <v>-4251.2474550749321</v>
      </c>
      <c r="I46" s="1022">
        <f t="shared" si="0"/>
        <v>-2952.4110249078512</v>
      </c>
      <c r="J46" s="1022">
        <f t="shared" si="0"/>
        <v>-1553.8511901151433</v>
      </c>
      <c r="K46" s="1022">
        <f t="shared" si="0"/>
        <v>-51.156915656807541</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76241.887999999977</v>
      </c>
      <c r="C51" s="1022">
        <f t="shared" ref="C51:K51" si="2">+C44</f>
        <v>75303.345760000026</v>
      </c>
      <c r="D51" s="1022">
        <f t="shared" si="2"/>
        <v>74271.857275200033</v>
      </c>
      <c r="E51" s="1022">
        <f t="shared" si="2"/>
        <v>73143.973758703927</v>
      </c>
      <c r="F51" s="1022">
        <f t="shared" si="2"/>
        <v>71914.117152018094</v>
      </c>
      <c r="G51" s="1022">
        <f t="shared" si="2"/>
        <v>70579.575730742697</v>
      </c>
      <c r="H51" s="1022">
        <f t="shared" si="2"/>
        <v>69135.499568112311</v>
      </c>
      <c r="I51" s="1022">
        <f t="shared" si="2"/>
        <v>67576.895851911817</v>
      </c>
      <c r="J51" s="1022">
        <f t="shared" si="2"/>
        <v>65898.624050160564</v>
      </c>
      <c r="K51" s="1022">
        <f t="shared" si="2"/>
        <v>64095.390920810562</v>
      </c>
    </row>
    <row r="52" spans="1:17">
      <c r="A52" s="1020" t="s">
        <v>3595</v>
      </c>
      <c r="B52" s="1022">
        <f>IF($B$25="N/A",B45,B45+$B$25)</f>
        <v>-53412.825767342139</v>
      </c>
      <c r="C52" s="1022">
        <f t="shared" ref="C52:K52" si="3">IF($B$25="N/A",C45,C45+$B$25)</f>
        <v>-53412.825767342139</v>
      </c>
      <c r="D52" s="1022">
        <f t="shared" si="3"/>
        <v>-53412.825767342139</v>
      </c>
      <c r="E52" s="1022">
        <f t="shared" si="3"/>
        <v>-53412.825767342139</v>
      </c>
      <c r="F52" s="1022">
        <f t="shared" si="3"/>
        <v>-53412.825767342139</v>
      </c>
      <c r="G52" s="1022">
        <f t="shared" si="3"/>
        <v>-53412.825767342139</v>
      </c>
      <c r="H52" s="1022">
        <f t="shared" si="3"/>
        <v>-53412.825767342139</v>
      </c>
      <c r="I52" s="1022">
        <f t="shared" si="3"/>
        <v>-53412.825767342139</v>
      </c>
      <c r="J52" s="1022">
        <f t="shared" si="3"/>
        <v>-53412.825767342139</v>
      </c>
      <c r="K52" s="1022">
        <f t="shared" si="3"/>
        <v>-53412.825767342139</v>
      </c>
    </row>
    <row r="53" spans="1:17">
      <c r="A53" s="1020" t="s">
        <v>3596</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3597</v>
      </c>
      <c r="B54" s="1022">
        <f>+SUM(B51:B53)</f>
        <v>15329.062232657838</v>
      </c>
      <c r="C54" s="1022">
        <f t="shared" ref="C54:K54" si="4">+SUM(C51:C53)</f>
        <v>14390.519992657886</v>
      </c>
      <c r="D54" s="1022">
        <f t="shared" si="4"/>
        <v>13359.031507857893</v>
      </c>
      <c r="E54" s="1022">
        <f t="shared" si="4"/>
        <v>12231.147991361788</v>
      </c>
      <c r="F54" s="1022">
        <f t="shared" si="4"/>
        <v>11001.291384675955</v>
      </c>
      <c r="G54" s="1022">
        <f t="shared" si="4"/>
        <v>9666.749963400558</v>
      </c>
      <c r="H54" s="1022">
        <f t="shared" si="4"/>
        <v>8222.6738007701715</v>
      </c>
      <c r="I54" s="1022">
        <f t="shared" si="4"/>
        <v>6664.0700845696774</v>
      </c>
      <c r="J54" s="1022">
        <f t="shared" si="4"/>
        <v>4985.7982828184249</v>
      </c>
      <c r="K54" s="1022">
        <f t="shared" si="4"/>
        <v>3182.5651534684221</v>
      </c>
    </row>
    <row r="55" spans="1:17">
      <c r="A55" s="1020" t="s">
        <v>3510</v>
      </c>
      <c r="B55" s="1022">
        <f>-B54</f>
        <v>-15329.062232657838</v>
      </c>
      <c r="C55" s="1022">
        <f t="shared" ref="C55:K55" si="5">-C54</f>
        <v>-14390.519992657886</v>
      </c>
      <c r="D55" s="1022">
        <f t="shared" si="5"/>
        <v>-13359.031507857893</v>
      </c>
      <c r="E55" s="1022">
        <f t="shared" si="5"/>
        <v>-12231.147991361788</v>
      </c>
      <c r="F55" s="1022">
        <f t="shared" si="5"/>
        <v>-11001.291384675955</v>
      </c>
      <c r="G55" s="1022">
        <f t="shared" si="5"/>
        <v>-9666.749963400558</v>
      </c>
      <c r="H55" s="1022">
        <f t="shared" si="5"/>
        <v>-8222.6738007701715</v>
      </c>
      <c r="I55" s="1022">
        <f t="shared" si="5"/>
        <v>-6664.0700845696774</v>
      </c>
      <c r="J55" s="1022">
        <f t="shared" si="5"/>
        <v>-4985.7982828184249</v>
      </c>
      <c r="K55" s="1022">
        <f t="shared" si="5"/>
        <v>-3182.5651534684221</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432643.10112980381</v>
      </c>
      <c r="C58" s="1021">
        <f>IF($B$26="","",-FV('Part III-Sources of Funds'!$K$40/12,12,C52/12,B58))</f>
        <v>388053.17321528861</v>
      </c>
      <c r="D58" s="1021">
        <f>IF($B$26="","",-FV('Part III-Sources of Funds'!$K$40/12,12,D52/12,C58))</f>
        <v>342499.60563182645</v>
      </c>
      <c r="E58" s="1021">
        <f>IF($B$26="","",-FV('Part III-Sources of Funds'!$K$40/12,12,E52/12,D58))</f>
        <v>295961.57301694195</v>
      </c>
      <c r="F58" s="1021">
        <f>IF($B$26="","",-FV('Part III-Sources of Funds'!$K$40/12,12,F52/12,E58))</f>
        <v>248417.79994810501</v>
      </c>
      <c r="G58" s="1021">
        <f>IF($B$26="","",-FV('Part III-Sources of Funds'!$K$40/12,12,G52/12,F58))</f>
        <v>199846.55121641484</v>
      </c>
      <c r="H58" s="1021">
        <f>IF($B$26="","",-FV('Part III-Sources of Funds'!$K$40/12,12,H52/12,G58))</f>
        <v>150225.62189008726</v>
      </c>
      <c r="I58" s="1021">
        <f>IF($B$26="","",-FV('Part III-Sources of Funds'!$K$40/12,12,I52/12,H58))</f>
        <v>99532.327163202528</v>
      </c>
      <c r="J58" s="1021">
        <f>IF($B$26="","",-FV('Part III-Sources of Funds'!$K$40/12,12,J52/12,I58))</f>
        <v>47743.491985072847</v>
      </c>
      <c r="K58" s="1021">
        <f>IF($B$26="","",-FV('Part III-Sources of Funds'!$K$40/12,12,K52/12,J58))</f>
        <v>-5164.5595345113252</v>
      </c>
    </row>
    <row r="59" spans="1:17">
      <c r="A59" s="1020" t="s">
        <v>3511</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62162.745360562971</v>
      </c>
      <c r="C64" s="1021">
        <f>+'Part VII-Pro Forma'!C57</f>
        <v>60095.073087750512</v>
      </c>
      <c r="D64" s="1021">
        <f>+'Part VII-Pro Forma'!D57</f>
        <v>57886.591154081158</v>
      </c>
      <c r="E64" s="1021">
        <f>+'Part VII-Pro Forma'!E57</f>
        <v>55532.342279875636</v>
      </c>
      <c r="F64" s="1021">
        <f>+'Part VII-Pro Forma'!F57</f>
        <v>53025.1890072674</v>
      </c>
      <c r="G64" s="1021">
        <f>+'Part VII-Pro Forma'!G57</f>
        <v>50358.807665660701</v>
      </c>
      <c r="H64" s="1021">
        <f>+'Part VII-Pro Forma'!H57</f>
        <v>47528.682143569546</v>
      </c>
      <c r="I64" s="1021">
        <f>+'Part VII-Pro Forma'!I57</f>
        <v>44525.097460774312</v>
      </c>
      <c r="J64" s="1021">
        <f>+'Part VII-Pro Forma'!J57</f>
        <v>41344.133134553129</v>
      </c>
      <c r="K64" s="1021">
        <f>+'Part VII-Pro Forma'!K57</f>
        <v>37976.656333544466</v>
      </c>
    </row>
    <row r="65" spans="1:11">
      <c r="A65" s="1020" t="s">
        <v>3592</v>
      </c>
      <c r="B65" s="1021">
        <f>SUM('Part VII-Pro Forma'!B58:B61)</f>
        <v>-53361.668851685332</v>
      </c>
      <c r="C65" s="1021">
        <f>SUM('Part VII-Pro Forma'!C58:C61)</f>
        <v>-53361.668851685332</v>
      </c>
      <c r="D65" s="1021">
        <f>SUM('Part VII-Pro Forma'!D58:D61)</f>
        <v>-53361.668851685332</v>
      </c>
      <c r="E65" s="1021">
        <f>SUM('Part VII-Pro Forma'!E58:E61)</f>
        <v>-53361.668851685332</v>
      </c>
      <c r="F65" s="1021">
        <f>SUM('Part VII-Pro Forma'!F58:F61)</f>
        <v>-53361.668851685332</v>
      </c>
      <c r="G65" s="1021">
        <f>SUM('Part VII-Pro Forma'!G58:G61)</f>
        <v>-53361.668851685332</v>
      </c>
      <c r="H65" s="1021">
        <f>SUM('Part VII-Pro Forma'!H58:H61)</f>
        <v>-53361.668851685332</v>
      </c>
      <c r="I65" s="1021">
        <f>SUM('Part VII-Pro Forma'!I58:I61)</f>
        <v>-53361.668851685332</v>
      </c>
      <c r="J65" s="1021">
        <f>SUM('Part VII-Pro Forma'!J58:J61)</f>
        <v>-53361.668851685332</v>
      </c>
      <c r="K65" s="1021">
        <f>SUM('Part VII-Pro Forma'!K58:K61)</f>
        <v>-53361.668851685332</v>
      </c>
    </row>
    <row r="66" spans="1:11">
      <c r="A66" s="1020" t="s">
        <v>3593</v>
      </c>
      <c r="B66" s="1022">
        <f t="shared" ref="B66:K66" si="7">-B64/B68-B65</f>
        <v>1559.3810512161872</v>
      </c>
      <c r="C66" s="1022">
        <f t="shared" si="7"/>
        <v>3282.4412785599052</v>
      </c>
      <c r="D66" s="1022">
        <f t="shared" si="7"/>
        <v>5122.8428899510327</v>
      </c>
      <c r="E66" s="1022">
        <f t="shared" si="7"/>
        <v>7084.7169517889633</v>
      </c>
      <c r="F66" s="1022">
        <f t="shared" si="7"/>
        <v>9174.0113456291656</v>
      </c>
      <c r="G66" s="1022">
        <f t="shared" si="7"/>
        <v>11395.995796968076</v>
      </c>
      <c r="H66" s="1022">
        <f t="shared" si="7"/>
        <v>13754.433732044039</v>
      </c>
      <c r="I66" s="1022">
        <f t="shared" si="7"/>
        <v>16257.420967706734</v>
      </c>
      <c r="J66" s="1022">
        <f t="shared" si="7"/>
        <v>18908.224572891057</v>
      </c>
      <c r="K66" s="1022">
        <f t="shared" si="7"/>
        <v>21714.455240398274</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62162.745360562971</v>
      </c>
      <c r="C71" s="1022">
        <f t="shared" si="9"/>
        <v>60095.073087750512</v>
      </c>
      <c r="D71" s="1022">
        <f t="shared" si="9"/>
        <v>57886.591154081158</v>
      </c>
      <c r="E71" s="1022">
        <f t="shared" si="9"/>
        <v>55532.342279875636</v>
      </c>
      <c r="F71" s="1022">
        <f t="shared" si="9"/>
        <v>53025.1890072674</v>
      </c>
      <c r="G71" s="1022">
        <f t="shared" si="9"/>
        <v>50358.807665660701</v>
      </c>
      <c r="H71" s="1022">
        <f>+H64</f>
        <v>47528.682143569546</v>
      </c>
      <c r="I71" s="1022">
        <f>+I64</f>
        <v>44525.097460774312</v>
      </c>
      <c r="J71" s="1022">
        <f>+J64</f>
        <v>41344.133134553129</v>
      </c>
      <c r="K71" s="1022">
        <f>+K64</f>
        <v>37976.656333544466</v>
      </c>
    </row>
    <row r="72" spans="1:11">
      <c r="A72" s="1020" t="s">
        <v>3595</v>
      </c>
      <c r="B72" s="1022">
        <f t="shared" ref="B72:G72" si="10">IF($B$25="N/A",B65,B65+$B$25)</f>
        <v>-53412.825767342139</v>
      </c>
      <c r="C72" s="1022">
        <f t="shared" si="10"/>
        <v>-53412.825767342139</v>
      </c>
      <c r="D72" s="1022">
        <f t="shared" si="10"/>
        <v>-53412.825767342139</v>
      </c>
      <c r="E72" s="1022">
        <f t="shared" si="10"/>
        <v>-53412.825767342139</v>
      </c>
      <c r="F72" s="1022">
        <f t="shared" si="10"/>
        <v>-53412.825767342139</v>
      </c>
      <c r="G72" s="1022">
        <f t="shared" si="10"/>
        <v>-53412.825767342139</v>
      </c>
      <c r="H72" s="1022">
        <f>IF($B$25="N/A",H65,H65+$B$25)</f>
        <v>-53412.825767342139</v>
      </c>
      <c r="I72" s="1022">
        <f>IF($B$25="N/A",I65,I65+$B$25)</f>
        <v>-53412.825767342139</v>
      </c>
      <c r="J72" s="1022">
        <f>IF($B$25="N/A",J65,J65+$B$25)</f>
        <v>-53412.825767342139</v>
      </c>
      <c r="K72" s="1022">
        <f>IF($B$25="N/A",K65,K65+$B$25)</f>
        <v>-53412.825767342139</v>
      </c>
    </row>
    <row r="73" spans="1:11">
      <c r="A73" s="1020" t="s">
        <v>3596</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3597</v>
      </c>
      <c r="B74" s="1022">
        <f t="shared" ref="B74:G74" si="11">+SUM(B71:B73)</f>
        <v>1249.9195932208313</v>
      </c>
      <c r="C74" s="1022">
        <f t="shared" si="11"/>
        <v>-817.75267959162738</v>
      </c>
      <c r="D74" s="1022">
        <f t="shared" si="11"/>
        <v>-3026.2346132609819</v>
      </c>
      <c r="E74" s="1022">
        <f t="shared" si="11"/>
        <v>-5380.483487466503</v>
      </c>
      <c r="F74" s="1022">
        <f t="shared" si="11"/>
        <v>-7887.6367600747399</v>
      </c>
      <c r="G74" s="1022">
        <f t="shared" si="11"/>
        <v>-10554.018101681439</v>
      </c>
      <c r="H74" s="1022">
        <f>+SUM(H71:H73)</f>
        <v>-13384.143623772594</v>
      </c>
      <c r="I74" s="1022">
        <f>+SUM(I71:I73)</f>
        <v>-16387.728306567828</v>
      </c>
      <c r="J74" s="1022">
        <f>+SUM(J71:J73)</f>
        <v>-19568.692632789011</v>
      </c>
      <c r="K74" s="1022">
        <f>+SUM(K71:K73)</f>
        <v>-22936.169433797673</v>
      </c>
    </row>
    <row r="75" spans="1:11">
      <c r="A75" s="1020" t="s">
        <v>3510</v>
      </c>
      <c r="B75" s="1022">
        <f t="shared" ref="B75:G75" si="12">-B74</f>
        <v>-1249.9195932208313</v>
      </c>
      <c r="C75" s="1022">
        <f t="shared" si="12"/>
        <v>817.75267959162738</v>
      </c>
      <c r="D75" s="1022">
        <f t="shared" si="12"/>
        <v>3026.2346132609819</v>
      </c>
      <c r="E75" s="1022">
        <f t="shared" si="12"/>
        <v>5380.483487466503</v>
      </c>
      <c r="F75" s="1022">
        <f t="shared" si="12"/>
        <v>7887.6367600747399</v>
      </c>
      <c r="G75" s="1022">
        <f t="shared" si="12"/>
        <v>10554.018101681439</v>
      </c>
      <c r="H75" s="1022">
        <f>-H74</f>
        <v>13384.143623772594</v>
      </c>
      <c r="I75" s="1022">
        <f>-I74</f>
        <v>16387.728306567828</v>
      </c>
      <c r="J75" s="1022">
        <f>-J74</f>
        <v>19568.692632789011</v>
      </c>
      <c r="K75" s="1022">
        <f>-K74</f>
        <v>22936.169433797673</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-59216.01494899988</v>
      </c>
      <c r="C78" s="1021">
        <f>IF($B$26="","",-FV('Part III-Sources of Funds'!$K$40/12,12,C72/12,B78))</f>
        <v>-114435.58453271465</v>
      </c>
      <c r="D78" s="1021">
        <f>IF($B$26="","",-FV('Part III-Sources of Funds'!$K$40/12,12,D72/12,C78))</f>
        <v>-170848.51257744915</v>
      </c>
      <c r="E78" s="1021">
        <f>IF($B$26="","",-FV('Part III-Sources of Funds'!$K$40/12,12,E72/12,D78))</f>
        <v>-228480.58893320081</v>
      </c>
      <c r="F78" s="1021">
        <f>IF($B$26="","",-FV('Part III-Sources of Funds'!$K$40/12,12,F72/12,E78))</f>
        <v>-287358.16079831176</v>
      </c>
      <c r="G78" s="1021">
        <f>IF($B$26="","",-FV('Part III-Sources of Funds'!$K$40/12,12,G72/12,F78))</f>
        <v>-347508.14476440818</v>
      </c>
      <c r="H78" s="1021">
        <f>IF($B$26="","",-FV('Part III-Sources of Funds'!$K$40/12,12,H72/12,G78))</f>
        <v>-408958.03912164451</v>
      </c>
      <c r="I78" s="1021">
        <f>IF($B$26="","",-FV('Part III-Sources of Funds'!$K$40/12,12,I72/12,H78))</f>
        <v>-471735.93642987817</v>
      </c>
      <c r="J78" s="1021">
        <f>IF($B$26="","",-FV('Part III-Sources of Funds'!$K$40/12,12,J72/12,I78))</f>
        <v>-535870.53636152204</v>
      </c>
      <c r="K78" s="1021">
        <f>IF($B$26="","",-FV('Part III-Sources of Funds'!$K$40/12,12,K72/12,J78))</f>
        <v>-601391.15882194554</v>
      </c>
    </row>
    <row r="79" spans="1:11">
      <c r="A79" s="1020" t="s">
        <v>3511</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Dunbar Court</v>
      </c>
    </row>
    <row r="2" spans="1:15" ht="13.5" customHeight="1"/>
    <row r="3" spans="1:15" ht="13.5" customHeight="1">
      <c r="A3" s="589" t="s">
        <v>2826</v>
      </c>
      <c r="C3" s="588" t="s">
        <v>2827</v>
      </c>
      <c r="E3" s="674">
        <f>SUM('Part IV-A-Uses of Funds'!J162,'Part IV-A-Uses of Funds'!M162,'Part IV-A-Uses of Funds'!P162)</f>
        <v>10500287</v>
      </c>
      <c r="F3" s="1094" t="s">
        <v>2828</v>
      </c>
      <c r="H3" s="1074">
        <v>27.5</v>
      </c>
      <c r="I3" s="588" t="s">
        <v>2357</v>
      </c>
      <c r="K3" s="593" t="s">
        <v>2849</v>
      </c>
      <c r="M3" s="1094"/>
      <c r="O3" s="675"/>
    </row>
    <row r="4" spans="1:15" ht="13.5" customHeight="1">
      <c r="C4" s="588" t="s">
        <v>3249</v>
      </c>
      <c r="E4" s="674">
        <f>SUM('Part IV-A-Uses of Funds'!G97:H101)</f>
        <v>34800</v>
      </c>
      <c r="F4" s="1094" t="s">
        <v>3815</v>
      </c>
      <c r="H4" s="589">
        <f>'Part III-Sources of Funds'!M40</f>
        <v>10</v>
      </c>
      <c r="I4" s="588" t="s">
        <v>2357</v>
      </c>
      <c r="K4" s="676" t="s">
        <v>3077</v>
      </c>
      <c r="M4" s="1094"/>
    </row>
    <row r="5" spans="1:15" ht="13.5" customHeight="1">
      <c r="C5" s="588" t="s">
        <v>3250</v>
      </c>
      <c r="E5" s="674">
        <f>SUM('Part IV-A-Uses of Funds'!G105:H111)</f>
        <v>133500</v>
      </c>
      <c r="F5" s="1094" t="s">
        <v>3814</v>
      </c>
      <c r="H5" s="1074">
        <v>15</v>
      </c>
      <c r="I5" s="588" t="s">
        <v>2357</v>
      </c>
      <c r="K5" s="675">
        <f>-E6</f>
        <v>-11159235</v>
      </c>
    </row>
    <row r="6" spans="1:15" ht="13.5" customHeight="1">
      <c r="C6" s="588" t="s">
        <v>2829</v>
      </c>
      <c r="E6" s="677">
        <f>'Part III-Sources of Funds'!$I$51+'Part III-Sources of Funds'!$I$52</f>
        <v>11159235</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0.21914831464528106</v>
      </c>
      <c r="D9" s="682">
        <f>'Part VII-Pro Forma'!C33</f>
        <v>12446.676908314694</v>
      </c>
      <c r="E9" s="682">
        <f>'Part VII-Pro Forma'!D33</f>
        <v>13410.188423514701</v>
      </c>
      <c r="F9" s="682">
        <f>'Part VII-Pro Forma'!E33</f>
        <v>12282.304907018595</v>
      </c>
      <c r="G9" s="682">
        <f>'Part VII-Pro Forma'!F33</f>
        <v>11052.448300332762</v>
      </c>
      <c r="H9" s="682">
        <f>'Part VII-Pro Forma'!G33</f>
        <v>9717.9068790573656</v>
      </c>
      <c r="I9" s="682">
        <f>'Part VII-Pro Forma'!H33</f>
        <v>8273.8307164269791</v>
      </c>
      <c r="K9" s="675" t="e">
        <f>F24</f>
        <v>#VALUE!</v>
      </c>
      <c r="N9" s="683" t="s">
        <v>2835</v>
      </c>
    </row>
    <row r="10" spans="1:15" ht="13.5" customHeight="1">
      <c r="A10" s="588" t="s">
        <v>2834</v>
      </c>
      <c r="C10" s="1044">
        <f>'Part III-Sources of Funds'!I40-'Part VII-Pro Forma'!B40</f>
        <v>43514.829143753392</v>
      </c>
      <c r="D10" s="684">
        <f>'Part VII-Pro Forma'!B40-'Part VII-Pro Forma'!C40</f>
        <v>44455.234690736106</v>
      </c>
      <c r="E10" s="684">
        <f>'Part VII-Pro Forma'!C40-'Part VII-Pro Forma'!D40</f>
        <v>45415.963484074164</v>
      </c>
      <c r="F10" s="684">
        <f>'Part VII-Pro Forma'!D40-'Part VII-Pro Forma'!E40</f>
        <v>46397.454732514918</v>
      </c>
      <c r="G10" s="684">
        <f>'Part VII-Pro Forma'!E40-'Part VII-Pro Forma'!F40</f>
        <v>47400.157136612514</v>
      </c>
      <c r="H10" s="684">
        <f>'Part VII-Pro Forma'!F40-'Part VII-Pro Forma'!G40</f>
        <v>48424.529093856545</v>
      </c>
      <c r="I10" s="684">
        <f>'Part VII-Pro Forma'!G40-'Part VII-Pro Forma'!H40</f>
        <v>49471.038908233866</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-12000</v>
      </c>
      <c r="D13" s="1045">
        <f>'Part VII-Pro Forma'!C23</f>
        <v>-12360</v>
      </c>
      <c r="E13" s="1045">
        <f>'Part VII-Pro Forma'!D23</f>
        <v>-12730.8</v>
      </c>
      <c r="F13" s="1045">
        <f>'Part VII-Pro Forma'!E23</f>
        <v>-13112.724</v>
      </c>
      <c r="G13" s="1045">
        <f>'Part VII-Pro Forma'!F23</f>
        <v>-13506.10572</v>
      </c>
      <c r="H13" s="1045">
        <f>'Part VII-Pro Forma'!G23</f>
        <v>-13911.288891599997</v>
      </c>
      <c r="I13" s="1045">
        <f>'Part VII-Pro Forma'!H23</f>
        <v>-14328.627558347998</v>
      </c>
      <c r="K13" s="675" t="e">
        <f>C44</f>
        <v>#VALUE!</v>
      </c>
      <c r="O13" s="680"/>
    </row>
    <row r="14" spans="1:15" ht="13.5" customHeight="1">
      <c r="A14" s="686" t="s">
        <v>3252</v>
      </c>
      <c r="B14" s="687"/>
      <c r="C14" s="1045">
        <f>'Part VII-Pro Forma'!B32</f>
        <v>-15380</v>
      </c>
      <c r="D14" s="1045">
        <f>'Part VII-Pro Forma'!C32</f>
        <v>-1995</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381828.61818181816</v>
      </c>
      <c r="D15" s="689">
        <f t="shared" si="0"/>
        <v>381828.61818181816</v>
      </c>
      <c r="E15" s="689">
        <f t="shared" si="0"/>
        <v>381828.61818181816</v>
      </c>
      <c r="F15" s="689">
        <f t="shared" si="0"/>
        <v>381828.61818181816</v>
      </c>
      <c r="G15" s="689">
        <f t="shared" si="0"/>
        <v>381828.61818181816</v>
      </c>
      <c r="H15" s="689">
        <f t="shared" si="0"/>
        <v>381828.61818181816</v>
      </c>
      <c r="I15" s="689">
        <f t="shared" si="0"/>
        <v>381828.61818181816</v>
      </c>
      <c r="K15" s="675" t="e">
        <f>E44</f>
        <v>#VALUE!</v>
      </c>
      <c r="O15" s="680"/>
    </row>
    <row r="16" spans="1:15" ht="13.5" customHeight="1">
      <c r="A16" s="688" t="s">
        <v>2839</v>
      </c>
      <c r="C16" s="689">
        <f>IF(C$8&lt;=$H$4,($E$4/$H$4),0)+IF(C$8&lt;=$H$5,($E$5/$H$5),0)</f>
        <v>12380</v>
      </c>
      <c r="D16" s="689">
        <f t="shared" ref="D16:I16" si="1">IF(D$8&lt;=$H$4,($E$4/$H$4),0)+IF(D$8&lt;=$H$5,($E$5/$H$5),0)</f>
        <v>12380</v>
      </c>
      <c r="E16" s="689">
        <f t="shared" si="1"/>
        <v>12380</v>
      </c>
      <c r="F16" s="689">
        <f t="shared" si="1"/>
        <v>12380</v>
      </c>
      <c r="G16" s="689">
        <f t="shared" si="1"/>
        <v>12380</v>
      </c>
      <c r="H16" s="689">
        <f t="shared" si="1"/>
        <v>12380</v>
      </c>
      <c r="I16" s="689">
        <f t="shared" si="1"/>
        <v>12380</v>
      </c>
      <c r="K16" s="675" t="e">
        <f>F44</f>
        <v>#VALUE!</v>
      </c>
      <c r="M16" s="588" t="s">
        <v>2843</v>
      </c>
      <c r="O16" s="680">
        <f>E3</f>
        <v>10500287</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7636572.3636363633</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2863714.6363636367</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2846</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2863714.6363636367</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-2863714.6363636367</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6715.227000226485</v>
      </c>
      <c r="D29" s="682">
        <f>'Part VII-Pro Forma'!J33</f>
        <v>5036.9551984752325</v>
      </c>
      <c r="E29" s="682">
        <f>'Part VII-Pro Forma'!K33</f>
        <v>3233.7220691252296</v>
      </c>
      <c r="F29" s="682">
        <f>'Part VII-Pro Forma'!B65</f>
        <v>1301.0765088776388</v>
      </c>
      <c r="G29" s="682">
        <f>'Part VII-Pro Forma'!C65</f>
        <v>-766.59576393481984</v>
      </c>
      <c r="H29" s="682">
        <f>'Part VII-Pro Forma'!D65</f>
        <v>-2975.0776976041743</v>
      </c>
      <c r="I29" s="682">
        <f>'Part VII-Pro Forma'!E65</f>
        <v>-5329.3265718096955</v>
      </c>
      <c r="N29" s="693"/>
      <c r="O29" s="693"/>
    </row>
    <row r="30" spans="1:17" ht="13.5" customHeight="1">
      <c r="A30" s="588" t="s">
        <v>2834</v>
      </c>
      <c r="C30" s="684">
        <f>'Part VII-Pro Forma'!H40-'Part VII-Pro Forma'!I40</f>
        <v>50540.165004319686</v>
      </c>
      <c r="D30" s="684">
        <f>'Part VII-Pro Forma'!I40-'Part VII-Pro Forma'!J40</f>
        <v>51632.396145994957</v>
      </c>
      <c r="E30" s="684">
        <f>'Part VII-Pro Forma'!J40-'Part VII-Pro Forma'!K40</f>
        <v>52748.231659890684</v>
      </c>
      <c r="F30" s="1042">
        <f>'Part VII-Pro Forma'!K40-'Part VII-Pro Forma'!B72</f>
        <v>53888.181663661147</v>
      </c>
      <c r="G30" s="1042">
        <f>'Part VII-Pro Forma'!B72-'Part VII-Pro Forma'!C72</f>
        <v>55052.767299190324</v>
      </c>
      <c r="H30" s="1042">
        <f>'Part VII-Pro Forma'!C72-'Part VII-Pro Forma'!D72</f>
        <v>56242.520970838174</v>
      </c>
      <c r="I30" s="1042">
        <f>'Part VII-Pro Forma'!D72-'Part VII-Pro Forma'!E72</f>
        <v>57457.986588835745</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-572742.92727272736</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-14758.48638509844</v>
      </c>
      <c r="D33" s="1045">
        <f>'Part VII-Pro Forma'!J23</f>
        <v>-15201.240976651392</v>
      </c>
      <c r="E33" s="1045">
        <f>'Part VII-Pro Forma'!K23</f>
        <v>-15657.278205950934</v>
      </c>
      <c r="F33" s="1045">
        <f>'Part VII-Pro Forma'!B55</f>
        <v>-16126.996552129462</v>
      </c>
      <c r="G33" s="1045">
        <f>'Part VII-Pro Forma'!C55</f>
        <v>-16610.806448693347</v>
      </c>
      <c r="H33" s="1045">
        <f>'Part VII-Pro Forma'!D55</f>
        <v>-17109.130642154145</v>
      </c>
      <c r="I33" s="1045">
        <f>'Part VII-Pro Forma'!E55</f>
        <v>-17622.404561418767</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381828.61818181816</v>
      </c>
      <c r="D35" s="689">
        <f t="shared" si="8"/>
        <v>381828.61818181816</v>
      </c>
      <c r="E35" s="689">
        <f t="shared" si="8"/>
        <v>381828.61818181816</v>
      </c>
      <c r="F35" s="689">
        <f t="shared" si="8"/>
        <v>381828.61818181816</v>
      </c>
      <c r="G35" s="689">
        <f t="shared" si="8"/>
        <v>381828.61818181816</v>
      </c>
      <c r="H35" s="689">
        <f t="shared" si="8"/>
        <v>381828.61818181816</v>
      </c>
      <c r="I35" s="689">
        <f t="shared" si="8"/>
        <v>381828.61818181816</v>
      </c>
    </row>
    <row r="36" spans="1:15" ht="13.5" customHeight="1">
      <c r="A36" s="688" t="s">
        <v>2839</v>
      </c>
      <c r="C36" s="682">
        <f>IF(C$28&lt;=$H$4,($E$4/$H$4),0)+IF(C$28&lt;=$H$5,($E$5/$H$5),0)</f>
        <v>12380</v>
      </c>
      <c r="D36" s="682">
        <f t="shared" ref="D36:I36" si="9">IF(D$28&lt;=$H$4,($E$4/$H$4),0)+IF(D$28&lt;=$H$5,($E$5/$H$5),0)</f>
        <v>12380</v>
      </c>
      <c r="E36" s="682">
        <f t="shared" si="9"/>
        <v>12380</v>
      </c>
      <c r="F36" s="682">
        <f t="shared" si="9"/>
        <v>8900</v>
      </c>
      <c r="G36" s="682">
        <f t="shared" si="9"/>
        <v>8900</v>
      </c>
      <c r="H36" s="682">
        <f t="shared" si="9"/>
        <v>8900</v>
      </c>
      <c r="I36" s="682">
        <f t="shared" si="9"/>
        <v>8900</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900000</v>
      </c>
      <c r="D41" s="690">
        <f>C41</f>
        <v>900000</v>
      </c>
      <c r="E41" s="690">
        <f>D41</f>
        <v>900000</v>
      </c>
      <c r="F41" s="690">
        <v>0</v>
      </c>
      <c r="G41" s="690">
        <v>0</v>
      </c>
      <c r="H41" s="690">
        <v>0</v>
      </c>
      <c r="I41" s="690">
        <v>0</v>
      </c>
    </row>
    <row r="42" spans="1:15" ht="13.5" customHeight="1">
      <c r="A42" s="588" t="s">
        <v>2846</v>
      </c>
      <c r="C42" s="690">
        <f>C22</f>
        <v>900000</v>
      </c>
      <c r="D42" s="690">
        <f>C42</f>
        <v>900000</v>
      </c>
      <c r="E42" s="690">
        <f>D42</f>
        <v>900000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-7836.4798444179323</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58699.719817940175</v>
      </c>
      <c r="D50" s="1043">
        <f>'Part VII-Pro Forma'!F72-'Part VII-Pro Forma'!G72</f>
        <v>59968.288331463817</v>
      </c>
      <c r="E50" s="1043">
        <f>'Part VII-Pro Forma'!G72-'Part VII-Pro Forma'!H72</f>
        <v>61264.272070792504</v>
      </c>
      <c r="F50" s="1043">
        <f>'Part VII-Pro Forma'!H72-'Part VII-Pro Forma'!I72</f>
        <v>62588.263510513061</v>
      </c>
      <c r="G50" s="1043">
        <f>'Part VII-Pro Forma'!I72-'Part VII-Pro Forma'!J72</f>
        <v>63940.8679292702</v>
      </c>
      <c r="H50" s="1043">
        <f>'Part VII-Pro Forma'!J72-'Part VII-Pro Forma'!K72</f>
        <v>65322.703686476918</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-18151.076698261331</v>
      </c>
      <c r="D53" s="1045">
        <f>'Part VII-Pro Forma'!G55</f>
        <v>-18695.608999209173</v>
      </c>
      <c r="E53" s="1045">
        <f>'Part VII-Pro Forma'!H55</f>
        <v>-19256.477269185445</v>
      </c>
      <c r="F53" s="1045">
        <f>'Part VII-Pro Forma'!I55</f>
        <v>-19834.171587261008</v>
      </c>
      <c r="G53" s="1045">
        <f>'Part VII-Pro Forma'!J55</f>
        <v>-20429.196734878838</v>
      </c>
      <c r="H53" s="1045">
        <f>'Part VII-Pro Forma'!K55</f>
        <v>-21042.072636925204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381828.61818181816</v>
      </c>
      <c r="D55" s="689">
        <f t="shared" si="14"/>
        <v>381828.61818181816</v>
      </c>
      <c r="E55" s="689">
        <f t="shared" si="14"/>
        <v>381828.61818181816</v>
      </c>
      <c r="F55" s="689">
        <f t="shared" si="14"/>
        <v>381828.61818181816</v>
      </c>
      <c r="G55" s="689">
        <f t="shared" si="14"/>
        <v>381828.61818181816</v>
      </c>
      <c r="H55" s="689">
        <f t="shared" si="14"/>
        <v>381828.61818181816</v>
      </c>
    </row>
    <row r="56" spans="1:10" ht="13.5" customHeight="1">
      <c r="A56" s="688" t="s">
        <v>2839</v>
      </c>
      <c r="C56" s="682">
        <f t="shared" ref="C56:H56" si="15">IF(C$48&lt;=$H$4,($E$4/$H$4),0)+IF(C$48&lt;=$H$5,($E$5/$H$5),0)</f>
        <v>8900</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Dunbar Court</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6270</v>
      </c>
      <c r="B4" s="4472"/>
      <c r="C4" s="1544"/>
      <c r="D4" s="4472" t="s">
        <v>6271</v>
      </c>
      <c r="E4" s="4472"/>
      <c r="F4" s="1545"/>
      <c r="G4" s="4472" t="s">
        <v>6272</v>
      </c>
      <c r="H4" s="4472"/>
      <c r="I4" s="1545"/>
      <c r="J4" s="4472" t="s">
        <v>6430</v>
      </c>
      <c r="K4" s="4472"/>
    </row>
    <row r="5" spans="1:11" ht="25.9" customHeight="1">
      <c r="A5" s="4473" t="str">
        <f>'Part III-Sources of Funds'!E40</f>
        <v>United Bank (Capital Magnet Funds)</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4446.805737640444</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4446.805737640444</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4446.805737640444</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4446.805737640444</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4446.805737640444</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4446.805737640444</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4446.805737640444</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4446.805737640444</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4446.805737640444</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4446.805737640444</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4446.805737640444</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4446.805737640444</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4446.805737640444</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4446.805737640444</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4446.805737640444</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4446.805737640444</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4446.805737640444</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4446.805737640444</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4446.805737640444</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4446.805737640444</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4446.805737640444</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4446.805737640444</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4446.805737640444</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4446.805737640444</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4446.805737640444</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4446.805737640444</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4446.805737640444</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4446.805737640444</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4446.805737640444</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4446.805737640444</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4446.805737640444</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4446.805737640444</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4446.805737640444</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4446.805737640444</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4446.805737640444</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6" zoomScale="110" zoomScaleNormal="110" workbookViewId="0">
      <selection activeCell="A6"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353" t="str">
        <f>CONCATENATE("PART ONE - PROJECT INFORMATION"," - ",$O$7," ",$F$35,", ",'Part I-Project Information'!F39,", ",'Part I-Project Information'!J40," County")</f>
        <v>PART ONE - PROJECT INFORMATION - 2021-014 Dunbar Court, Byron, Peach County</v>
      </c>
      <c r="B2" s="3354"/>
      <c r="C2" s="3354"/>
      <c r="D2" s="3354"/>
      <c r="E2" s="3354"/>
      <c r="F2" s="3354"/>
      <c r="G2" s="3354"/>
      <c r="H2" s="3354"/>
      <c r="I2" s="3354"/>
      <c r="J2" s="3354"/>
      <c r="K2" s="3354"/>
      <c r="L2" s="3354"/>
      <c r="M2" s="3354"/>
      <c r="N2" s="3354"/>
      <c r="O2" s="3354"/>
      <c r="P2" s="335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4" t="s">
        <v>6282</v>
      </c>
      <c r="B4" s="3364"/>
      <c r="C4" s="3364"/>
      <c r="D4" s="3364"/>
      <c r="E4" s="3364"/>
      <c r="F4" s="3364"/>
      <c r="G4" s="3364"/>
      <c r="H4" s="3364"/>
      <c r="I4" s="3364"/>
      <c r="J4" s="3364"/>
      <c r="K4" s="3364"/>
      <c r="L4" s="3364"/>
      <c r="M4" s="3364"/>
      <c r="N4" s="3364"/>
      <c r="O4" s="3364"/>
      <c r="P4" s="33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3990</v>
      </c>
      <c r="L6" s="772"/>
      <c r="P6" s="936" t="s">
        <v>3429</v>
      </c>
      <c r="Z6" s="1773">
        <v>6</v>
      </c>
    </row>
    <row r="7" spans="1:26" s="289" customFormat="1" ht="12" customHeight="1" thickBot="1">
      <c r="B7" s="3365" t="s">
        <v>6831</v>
      </c>
      <c r="C7" s="3365"/>
      <c r="D7" s="3365"/>
      <c r="E7" s="1067"/>
      <c r="F7" s="292"/>
      <c r="G7" s="266" t="s">
        <v>6295</v>
      </c>
      <c r="H7" s="2629"/>
      <c r="I7" s="2629"/>
      <c r="J7" s="2629"/>
      <c r="O7" s="3356" t="s">
        <v>6998</v>
      </c>
      <c r="P7" s="3357"/>
      <c r="Z7" s="1773">
        <v>7</v>
      </c>
    </row>
    <row r="8" spans="1:26" s="289" customFormat="1" ht="12" customHeight="1">
      <c r="B8" s="3365"/>
      <c r="C8" s="3365"/>
      <c r="D8" s="3365"/>
      <c r="E8" s="1067"/>
      <c r="F8" s="490"/>
      <c r="G8" s="170" t="s">
        <v>3079</v>
      </c>
      <c r="H8" s="2629"/>
      <c r="I8" s="2629"/>
      <c r="J8" s="2629"/>
      <c r="Z8" s="1773">
        <v>8</v>
      </c>
    </row>
    <row r="9" spans="1:26" s="289" customFormat="1" ht="6" customHeight="1">
      <c r="A9" s="1711"/>
      <c r="B9" s="3365"/>
      <c r="C9" s="3365"/>
      <c r="D9" s="3365"/>
      <c r="E9" s="2629"/>
      <c r="H9" s="2629"/>
      <c r="I9" s="2629"/>
      <c r="M9" s="2629"/>
      <c r="Z9" s="1773">
        <v>9</v>
      </c>
    </row>
    <row r="10" spans="1:26" s="289" customFormat="1" ht="13.35" customHeight="1">
      <c r="A10" s="291" t="s">
        <v>586</v>
      </c>
      <c r="B10" s="291" t="s">
        <v>2270</v>
      </c>
      <c r="D10" s="267"/>
      <c r="E10" s="293"/>
      <c r="F10" s="2621" t="s">
        <v>3402</v>
      </c>
      <c r="I10" s="3358">
        <f>'Part IV-A-Uses of Funds'!$J$197</f>
        <v>900000</v>
      </c>
      <c r="J10" s="3359"/>
      <c r="L10" s="289" t="s">
        <v>3403</v>
      </c>
      <c r="O10" s="3360">
        <f>'Part III-Sources of Funds'!$I$6</f>
        <v>0</v>
      </c>
      <c r="P10" s="336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3" t="s">
        <v>6851</v>
      </c>
      <c r="G12" s="3344"/>
      <c r="H12" s="3345"/>
      <c r="I12" s="2675" t="s">
        <v>3346</v>
      </c>
      <c r="J12" s="474" t="s">
        <v>6606</v>
      </c>
      <c r="K12" s="299"/>
      <c r="L12" s="2629"/>
      <c r="O12" s="3362" t="s">
        <v>6850</v>
      </c>
      <c r="P12" s="3363"/>
      <c r="Z12" s="1773">
        <v>12</v>
      </c>
    </row>
    <row r="13" spans="1:26" s="289" customFormat="1" ht="12.75" customHeight="1">
      <c r="A13" s="1711"/>
      <c r="B13" s="1326"/>
      <c r="C13" s="1326"/>
      <c r="D13" s="1326"/>
      <c r="E13" s="1326"/>
      <c r="H13" s="2629"/>
      <c r="J13" s="1011" t="s">
        <v>4083</v>
      </c>
      <c r="K13" s="1662"/>
      <c r="M13" s="2629"/>
      <c r="O13" s="3366" t="s">
        <v>2772</v>
      </c>
      <c r="P13" s="3367"/>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2772</v>
      </c>
      <c r="G15" s="2620" t="s">
        <v>4288</v>
      </c>
      <c r="N15" s="3343" t="s">
        <v>4084</v>
      </c>
      <c r="O15" s="3344"/>
      <c r="P15" s="3345"/>
      <c r="Z15" s="1773">
        <v>15</v>
      </c>
    </row>
    <row r="16" spans="1:26" s="289" customFormat="1" ht="12.75" customHeight="1">
      <c r="A16" s="1711"/>
      <c r="B16" s="289" t="s">
        <v>4281</v>
      </c>
      <c r="D16" s="299"/>
      <c r="F16" s="3279"/>
      <c r="G16" s="3341"/>
      <c r="H16" s="3341"/>
      <c r="I16" s="3342"/>
      <c r="J16" s="289" t="s">
        <v>4119</v>
      </c>
      <c r="L16" s="3163"/>
      <c r="M16" s="3165"/>
      <c r="N16" s="289" t="s">
        <v>4118</v>
      </c>
      <c r="P16" s="2677"/>
      <c r="Z16" s="1773">
        <v>16</v>
      </c>
    </row>
    <row r="17" spans="1:26" s="289" customFormat="1" ht="12.75" customHeight="1">
      <c r="A17" s="1711"/>
      <c r="B17" s="289" t="s">
        <v>3401</v>
      </c>
      <c r="F17" s="2676"/>
      <c r="G17" s="289" t="s">
        <v>4076</v>
      </c>
      <c r="H17" s="2629"/>
      <c r="I17" s="170"/>
      <c r="J17" s="475"/>
      <c r="N17" s="3347" t="s">
        <v>2675</v>
      </c>
      <c r="O17" s="3348"/>
      <c r="P17" s="334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3436</v>
      </c>
      <c r="F21" s="3136" t="s">
        <v>6859</v>
      </c>
      <c r="G21" s="3137"/>
      <c r="H21" s="3138"/>
      <c r="I21" s="1246" t="s">
        <v>1716</v>
      </c>
      <c r="J21" s="3136" t="s">
        <v>6860</v>
      </c>
      <c r="K21" s="3137"/>
      <c r="L21" s="3138"/>
      <c r="M21" s="321" t="s">
        <v>1890</v>
      </c>
      <c r="N21" s="3163" t="s">
        <v>6861</v>
      </c>
      <c r="O21" s="3164"/>
      <c r="P21" s="3165"/>
      <c r="Z21" s="1773">
        <v>21</v>
      </c>
    </row>
    <row r="22" spans="1:26" s="289" customFormat="1" ht="13.35" customHeight="1">
      <c r="B22" s="2621" t="s">
        <v>1891</v>
      </c>
      <c r="F22" s="3288" t="s">
        <v>6862</v>
      </c>
      <c r="G22" s="3159"/>
      <c r="H22" s="3159"/>
      <c r="I22" s="3157"/>
      <c r="J22" s="3159"/>
      <c r="K22" s="3289"/>
      <c r="L22" s="3188"/>
      <c r="M22" s="3350" t="s">
        <v>3435</v>
      </c>
      <c r="N22" s="3351"/>
      <c r="O22" s="3351"/>
      <c r="P22" s="3351"/>
      <c r="Z22" s="1773">
        <v>22</v>
      </c>
    </row>
    <row r="23" spans="1:26" s="289" customFormat="1" ht="13.35" customHeight="1">
      <c r="B23" s="2621" t="s">
        <v>588</v>
      </c>
      <c r="F23" s="3288" t="s">
        <v>1979</v>
      </c>
      <c r="G23" s="3159"/>
      <c r="H23" s="3290"/>
      <c r="I23" s="2621" t="s">
        <v>1717</v>
      </c>
      <c r="J23" s="2678" t="s">
        <v>805</v>
      </c>
      <c r="M23" s="3350"/>
      <c r="N23" s="3350"/>
      <c r="O23" s="3350"/>
      <c r="P23" s="3350"/>
      <c r="Z23" s="1773">
        <v>23</v>
      </c>
    </row>
    <row r="24" spans="1:26" s="289" customFormat="1" ht="13.35" customHeight="1">
      <c r="B24" s="2620" t="s">
        <v>2128</v>
      </c>
      <c r="F24" s="3321">
        <v>368304303</v>
      </c>
      <c r="G24" s="3352"/>
      <c r="H24" s="3322"/>
      <c r="I24" s="2621" t="s">
        <v>1643</v>
      </c>
      <c r="J24" s="3346">
        <v>3343210529</v>
      </c>
      <c r="K24" s="3135"/>
      <c r="L24" s="2623" t="s">
        <v>1642</v>
      </c>
      <c r="M24" s="2679"/>
      <c r="N24" s="2620" t="s">
        <v>1644</v>
      </c>
      <c r="O24" s="3133">
        <v>3343210529</v>
      </c>
      <c r="P24" s="3135"/>
      <c r="Z24" s="1773">
        <v>24</v>
      </c>
    </row>
    <row r="25" spans="1:26" s="289" customFormat="1" ht="13.35" customHeight="1">
      <c r="B25" s="2620" t="s">
        <v>1894</v>
      </c>
      <c r="F25" s="3156" t="s">
        <v>6896</v>
      </c>
      <c r="G25" s="3157"/>
      <c r="H25" s="3157"/>
      <c r="I25" s="3164"/>
      <c r="J25" s="3157"/>
      <c r="K25" s="3158"/>
      <c r="N25" s="2620" t="s">
        <v>1889</v>
      </c>
      <c r="O25" s="3275">
        <v>3344440967</v>
      </c>
      <c r="P25" s="3277"/>
      <c r="Z25" s="1773">
        <v>25</v>
      </c>
    </row>
    <row r="26" spans="1:26" s="289" customFormat="1" ht="13.5" customHeight="1">
      <c r="A26" s="1711"/>
      <c r="B26" s="291" t="s">
        <v>3825</v>
      </c>
      <c r="C26" s="297"/>
      <c r="D26" s="2628"/>
      <c r="E26" s="2628"/>
      <c r="F26" s="2628"/>
      <c r="H26" s="2629"/>
      <c r="I26" s="2628"/>
      <c r="J26" s="297"/>
      <c r="K26" s="2628"/>
      <c r="P26" s="298"/>
      <c r="Z26" s="1773">
        <v>26</v>
      </c>
    </row>
    <row r="27" spans="1:26" s="289" customFormat="1" ht="13.35" customHeight="1">
      <c r="B27" s="289" t="s">
        <v>3436</v>
      </c>
      <c r="F27" s="3136"/>
      <c r="G27" s="3137"/>
      <c r="H27" s="3138"/>
      <c r="I27" s="1246" t="s">
        <v>1716</v>
      </c>
      <c r="J27" s="3136"/>
      <c r="K27" s="3137"/>
      <c r="L27" s="3138"/>
      <c r="M27" s="321" t="s">
        <v>1890</v>
      </c>
      <c r="N27" s="3163"/>
      <c r="O27" s="3164"/>
      <c r="P27" s="3165"/>
      <c r="Z27" s="1773">
        <v>27</v>
      </c>
    </row>
    <row r="28" spans="1:26" s="289" customFormat="1" ht="13.35" customHeight="1">
      <c r="B28" s="2621" t="s">
        <v>1891</v>
      </c>
      <c r="F28" s="3288"/>
      <c r="G28" s="3159"/>
      <c r="H28" s="3159"/>
      <c r="I28" s="3157"/>
      <c r="J28" s="3159"/>
      <c r="K28" s="3289"/>
      <c r="L28" s="3188"/>
      <c r="M28" s="3350" t="s">
        <v>3435</v>
      </c>
      <c r="N28" s="3351"/>
      <c r="O28" s="3351"/>
      <c r="P28" s="3351"/>
      <c r="Z28" s="1773">
        <v>28</v>
      </c>
    </row>
    <row r="29" spans="1:26" s="289" customFormat="1" ht="13.35" customHeight="1">
      <c r="B29" s="2621" t="s">
        <v>588</v>
      </c>
      <c r="F29" s="3288"/>
      <c r="G29" s="3159"/>
      <c r="H29" s="3290"/>
      <c r="I29" s="2621" t="s">
        <v>1717</v>
      </c>
      <c r="J29" s="2678"/>
      <c r="M29" s="3350"/>
      <c r="N29" s="3350"/>
      <c r="O29" s="3350"/>
      <c r="P29" s="3350"/>
      <c r="Z29" s="1773">
        <v>29</v>
      </c>
    </row>
    <row r="30" spans="1:26" s="289" customFormat="1" ht="13.35" customHeight="1">
      <c r="B30" s="2620" t="s">
        <v>2128</v>
      </c>
      <c r="F30" s="3321"/>
      <c r="G30" s="3352"/>
      <c r="H30" s="3322"/>
      <c r="I30" s="2621" t="s">
        <v>1643</v>
      </c>
      <c r="J30" s="3346"/>
      <c r="K30" s="3135"/>
      <c r="L30" s="2623" t="s">
        <v>1642</v>
      </c>
      <c r="M30" s="2679"/>
      <c r="N30" s="2620" t="s">
        <v>1644</v>
      </c>
      <c r="O30" s="3133"/>
      <c r="P30" s="3135"/>
      <c r="Z30" s="1773">
        <v>30</v>
      </c>
    </row>
    <row r="31" spans="1:26" s="289" customFormat="1" ht="13.35" customHeight="1">
      <c r="B31" s="2620" t="s">
        <v>1894</v>
      </c>
      <c r="F31" s="3156"/>
      <c r="G31" s="3157"/>
      <c r="H31" s="3157"/>
      <c r="I31" s="3164"/>
      <c r="J31" s="3157"/>
      <c r="K31" s="3158"/>
      <c r="N31" s="2620" t="s">
        <v>1889</v>
      </c>
      <c r="O31" s="3275"/>
      <c r="P31" s="3277"/>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5" t="s">
        <v>6854</v>
      </c>
      <c r="G35" s="3326"/>
      <c r="H35" s="3326"/>
      <c r="I35" s="3326"/>
      <c r="J35" s="3326"/>
      <c r="K35" s="3327"/>
      <c r="L35" s="2620" t="s">
        <v>2097</v>
      </c>
      <c r="O35" s="3136" t="s">
        <v>2772</v>
      </c>
      <c r="P35" s="3138"/>
      <c r="Z35" s="1773">
        <v>35</v>
      </c>
    </row>
    <row r="36" spans="1:26" s="289" customFormat="1" ht="13.35" customHeight="1">
      <c r="A36" s="300"/>
      <c r="B36" s="289" t="s">
        <v>2548</v>
      </c>
      <c r="D36" s="301"/>
      <c r="F36" s="3153" t="s">
        <v>6853</v>
      </c>
      <c r="G36" s="3154"/>
      <c r="H36" s="3154"/>
      <c r="I36" s="3154"/>
      <c r="J36" s="3154"/>
      <c r="K36" s="3155"/>
      <c r="L36" s="289" t="s">
        <v>3321</v>
      </c>
      <c r="O36" s="3187" t="s">
        <v>2933</v>
      </c>
      <c r="P36" s="3290"/>
      <c r="Z36" s="1773">
        <v>36</v>
      </c>
    </row>
    <row r="37" spans="1:26" s="289" customFormat="1" ht="13.35" customHeight="1">
      <c r="A37" s="300"/>
      <c r="B37" s="289" t="s">
        <v>2572</v>
      </c>
      <c r="D37" s="301"/>
      <c r="F37" s="3187" t="s">
        <v>6863</v>
      </c>
      <c r="G37" s="3159"/>
      <c r="H37" s="3159"/>
      <c r="I37" s="3289"/>
      <c r="J37" s="3159"/>
      <c r="K37" s="3290"/>
      <c r="L37" s="2620" t="s">
        <v>1958</v>
      </c>
      <c r="N37" s="2679" t="s">
        <v>2772</v>
      </c>
      <c r="O37" s="2629" t="s">
        <v>3320</v>
      </c>
      <c r="P37" s="2680"/>
      <c r="Z37" s="1773">
        <v>37</v>
      </c>
    </row>
    <row r="38" spans="1:26" s="289" customFormat="1" ht="13.35" customHeight="1">
      <c r="A38" s="300"/>
      <c r="B38" s="289" t="s">
        <v>3362</v>
      </c>
      <c r="D38" s="301"/>
      <c r="F38" s="289" t="s">
        <v>3347</v>
      </c>
      <c r="G38" s="3319">
        <v>32.651513999999999</v>
      </c>
      <c r="H38" s="3320"/>
      <c r="I38" s="2623" t="s">
        <v>3348</v>
      </c>
      <c r="J38" s="3319">
        <v>-83.749906999999993</v>
      </c>
      <c r="K38" s="3320"/>
      <c r="L38" s="2620" t="s">
        <v>2180</v>
      </c>
      <c r="O38" s="3328">
        <v>10.106</v>
      </c>
      <c r="P38" s="3329"/>
      <c r="Z38" s="1773">
        <v>38</v>
      </c>
    </row>
    <row r="39" spans="1:26" s="289" customFormat="1" ht="13.35" customHeight="1">
      <c r="A39" s="1711"/>
      <c r="B39" s="289" t="s">
        <v>588</v>
      </c>
      <c r="F39" s="3136" t="s">
        <v>344</v>
      </c>
      <c r="G39" s="3339"/>
      <c r="H39" s="3340"/>
      <c r="I39" s="305" t="s">
        <v>2549</v>
      </c>
      <c r="J39" s="3321">
        <v>310086337</v>
      </c>
      <c r="K39" s="3322"/>
      <c r="L39" s="356" t="str">
        <f>IF(AND(NOT(F35=""),NOT(F39="Select from list"),J39=""),"Enter Zip!","")</f>
        <v/>
      </c>
      <c r="M39" s="303" t="s">
        <v>2693</v>
      </c>
      <c r="O39" s="3323" t="s">
        <v>5955</v>
      </c>
      <c r="P39" s="3324"/>
      <c r="Z39" s="1773">
        <v>39</v>
      </c>
    </row>
    <row r="40" spans="1:26" s="289" customFormat="1" ht="13.35" customHeight="1">
      <c r="A40" s="1711"/>
      <c r="B40" s="2628" t="s">
        <v>4098</v>
      </c>
      <c r="D40" s="2628"/>
      <c r="F40" s="3187" t="s">
        <v>6852</v>
      </c>
      <c r="G40" s="3289"/>
      <c r="H40" s="3188"/>
      <c r="I40" s="302" t="s">
        <v>589</v>
      </c>
      <c r="J40" s="3333" t="str">
        <f>IF(F39="","",VLOOKUP(F39,'DCA Underwriting Assumptions'!$T$174:$U$803,2,FALSE))</f>
        <v>Peach</v>
      </c>
      <c r="K40" s="3334"/>
      <c r="M40" s="2620" t="s">
        <v>431</v>
      </c>
      <c r="N40" s="2681" t="s">
        <v>2772</v>
      </c>
      <c r="O40" s="2629" t="s">
        <v>432</v>
      </c>
      <c r="P40" s="2677" t="s">
        <v>2772</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MSA</v>
      </c>
      <c r="O41" s="3335" t="str">
        <f>IF($F$39="","",VLOOKUP($J$40,'DCA Underwriting Assumptions'!$G$174:$L$333,3,FALSE))</f>
        <v>Peach Co.</v>
      </c>
      <c r="P41" s="3336"/>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7" t="s">
        <v>2592</v>
      </c>
      <c r="G43" s="3337"/>
      <c r="H43" s="3338" t="s">
        <v>706</v>
      </c>
      <c r="I43" s="3338"/>
      <c r="J43" s="3338" t="s">
        <v>707</v>
      </c>
      <c r="K43" s="3338"/>
      <c r="L43" s="468" t="s">
        <v>4016</v>
      </c>
      <c r="Z43" s="1773">
        <v>43</v>
      </c>
    </row>
    <row r="44" spans="1:26" s="289" customFormat="1" ht="13.35" customHeight="1">
      <c r="A44" s="1711"/>
      <c r="B44" s="289" t="s">
        <v>2591</v>
      </c>
      <c r="D44" s="291"/>
      <c r="F44" s="3330">
        <v>2</v>
      </c>
      <c r="G44" s="3331"/>
      <c r="H44" s="3330">
        <v>18</v>
      </c>
      <c r="I44" s="3331"/>
      <c r="J44" s="3330">
        <v>140</v>
      </c>
      <c r="K44" s="3331"/>
      <c r="L44" s="464" t="s">
        <v>1235</v>
      </c>
      <c r="N44" s="3332" t="s">
        <v>1236</v>
      </c>
      <c r="O44" s="3332"/>
      <c r="P44" s="3332"/>
      <c r="Z44" s="1773">
        <v>44</v>
      </c>
    </row>
    <row r="45" spans="1:26" s="289" customFormat="1" ht="12.75" customHeight="1">
      <c r="A45" s="1711"/>
      <c r="B45" s="2621" t="s">
        <v>708</v>
      </c>
      <c r="F45" s="3284"/>
      <c r="G45" s="3285"/>
      <c r="H45" s="3284"/>
      <c r="I45" s="3285"/>
      <c r="J45" s="3284"/>
      <c r="K45" s="3285"/>
      <c r="L45" s="464" t="s">
        <v>2590</v>
      </c>
      <c r="N45" s="3286" t="s">
        <v>2589</v>
      </c>
      <c r="O45" s="3286"/>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3" t="s">
        <v>6864</v>
      </c>
      <c r="G47" s="3294"/>
      <c r="H47" s="3294"/>
      <c r="I47" s="3295"/>
      <c r="J47" s="3294"/>
      <c r="K47" s="3296"/>
      <c r="L47" s="771" t="s">
        <v>2553</v>
      </c>
      <c r="M47" s="3163" t="s">
        <v>6868</v>
      </c>
      <c r="N47" s="3164"/>
      <c r="O47" s="3164"/>
      <c r="P47" s="3165"/>
      <c r="Z47" s="1773">
        <v>47</v>
      </c>
    </row>
    <row r="48" spans="1:26" s="289" customFormat="1" ht="13.35" customHeight="1">
      <c r="A48" s="1711"/>
      <c r="B48" s="289" t="s">
        <v>608</v>
      </c>
      <c r="F48" s="3297" t="s">
        <v>6865</v>
      </c>
      <c r="G48" s="3298"/>
      <c r="H48" s="3299"/>
      <c r="I48" s="916" t="s">
        <v>1890</v>
      </c>
      <c r="J48" s="3153" t="s">
        <v>6866</v>
      </c>
      <c r="K48" s="3155"/>
      <c r="L48" s="771"/>
      <c r="Z48" s="1773">
        <v>48</v>
      </c>
    </row>
    <row r="49" spans="1:26" s="289" customFormat="1" ht="13.35" customHeight="1">
      <c r="A49" s="1711"/>
      <c r="B49" s="289" t="s">
        <v>1891</v>
      </c>
      <c r="F49" s="3300" t="s">
        <v>6867</v>
      </c>
      <c r="G49" s="3301"/>
      <c r="H49" s="3302"/>
      <c r="I49" s="3294"/>
      <c r="J49" s="3301"/>
      <c r="K49" s="3303"/>
      <c r="L49" s="2622" t="s">
        <v>588</v>
      </c>
      <c r="M49" s="3304" t="s">
        <v>344</v>
      </c>
      <c r="N49" s="3305"/>
      <c r="O49" s="3305"/>
      <c r="P49" s="3306"/>
      <c r="Z49" s="1773">
        <v>49</v>
      </c>
    </row>
    <row r="50" spans="1:26" s="289" customFormat="1" ht="13.35" customHeight="1">
      <c r="A50" s="1711"/>
      <c r="B50" s="2620" t="s">
        <v>2128</v>
      </c>
      <c r="F50" s="3308">
        <v>310080000</v>
      </c>
      <c r="G50" s="3309"/>
      <c r="H50" s="2623" t="s">
        <v>1892</v>
      </c>
      <c r="I50" s="3310">
        <v>4789563600</v>
      </c>
      <c r="J50" s="3311"/>
      <c r="K50" s="3312"/>
      <c r="L50" s="2621" t="s">
        <v>1718</v>
      </c>
      <c r="M50" s="3313" t="s">
        <v>6964</v>
      </c>
      <c r="N50" s="3314"/>
      <c r="O50" s="3314"/>
      <c r="P50" s="3315"/>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48</v>
      </c>
      <c r="K55" s="2621"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3257</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48</v>
      </c>
      <c r="I62" s="575">
        <f>'Part VI-Revenues &amp; Expenses'!$P$100</f>
        <v>0</v>
      </c>
      <c r="J62" s="1711"/>
      <c r="K62" s="297" t="s">
        <v>2600</v>
      </c>
      <c r="M62" s="2628"/>
      <c r="N62" s="2628"/>
      <c r="O62" s="2628"/>
      <c r="P62" s="750">
        <f>'Part VI-Revenues &amp; Expenses'!P164</f>
        <v>51936</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48</v>
      </c>
      <c r="J64" s="1711"/>
      <c r="K64" s="297" t="s">
        <v>2602</v>
      </c>
      <c r="M64" s="2628"/>
      <c r="N64" s="2628"/>
      <c r="O64" s="2628"/>
      <c r="P64" s="1747">
        <f>P62+P63</f>
        <v>51936</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48</v>
      </c>
      <c r="J66" s="2628"/>
      <c r="K66" s="297" t="s">
        <v>1369</v>
      </c>
      <c r="M66" s="2628"/>
      <c r="N66" s="2628"/>
      <c r="O66" s="2628"/>
      <c r="P66" s="311">
        <f>+P64+P65</f>
        <v>51936</v>
      </c>
      <c r="Z66" s="1773">
        <v>66</v>
      </c>
    </row>
    <row r="67" spans="1:26" s="289" customFormat="1" ht="3" customHeight="1">
      <c r="A67" s="1711"/>
      <c r="I67" s="2629"/>
      <c r="L67" s="2629"/>
      <c r="M67" s="2629"/>
      <c r="N67" s="2628"/>
      <c r="P67" s="298"/>
      <c r="Z67" s="1773">
        <v>67</v>
      </c>
    </row>
    <row r="68" spans="1:26" s="289" customFormat="1" ht="11.25" customHeight="1">
      <c r="A68" s="1711"/>
      <c r="H68" s="2623" t="s">
        <v>3442</v>
      </c>
      <c r="I68" s="2623" t="s">
        <v>2543</v>
      </c>
      <c r="L68" s="2629"/>
      <c r="M68" s="2629"/>
      <c r="N68" s="2628"/>
      <c r="P68" s="298"/>
      <c r="Z68" s="1773">
        <v>68</v>
      </c>
    </row>
    <row r="69" spans="1:26" s="289" customFormat="1" ht="13.35" customHeight="1">
      <c r="A69" s="1711"/>
      <c r="B69" s="1711" t="s">
        <v>1656</v>
      </c>
      <c r="C69" s="299" t="s">
        <v>2194</v>
      </c>
      <c r="D69" s="312" t="s">
        <v>1906</v>
      </c>
      <c r="G69" s="2628"/>
      <c r="H69" s="2685">
        <v>3</v>
      </c>
      <c r="I69" s="2685"/>
      <c r="K69" s="297" t="s">
        <v>4071</v>
      </c>
      <c r="O69" s="2628"/>
      <c r="P69" s="2686">
        <v>2100</v>
      </c>
      <c r="Z69" s="1773">
        <v>69</v>
      </c>
    </row>
    <row r="70" spans="1:26" s="289" customFormat="1" ht="13.35" customHeight="1">
      <c r="A70" s="1711"/>
      <c r="B70" s="1711"/>
      <c r="D70" s="2619" t="s">
        <v>1907</v>
      </c>
      <c r="H70" s="2687">
        <v>1</v>
      </c>
      <c r="I70" s="2687"/>
      <c r="K70" s="297" t="s">
        <v>241</v>
      </c>
      <c r="O70" s="2628"/>
      <c r="P70" s="311">
        <f>+P66+P69</f>
        <v>54036</v>
      </c>
      <c r="Z70" s="1773">
        <v>70</v>
      </c>
    </row>
    <row r="71" spans="1:26" s="289" customFormat="1" ht="13.35" customHeight="1">
      <c r="A71" s="1711"/>
      <c r="B71" s="1711"/>
      <c r="D71" s="2619" t="s">
        <v>1908</v>
      </c>
      <c r="H71" s="311">
        <f>+H69+H70</f>
        <v>4</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96</v>
      </c>
      <c r="K73" s="3307" t="s">
        <v>6776</v>
      </c>
      <c r="L73" s="3307"/>
      <c r="M73" s="3307"/>
      <c r="N73" s="3307"/>
      <c r="O73" s="3307"/>
      <c r="P73" s="3307"/>
      <c r="Z73" s="1773">
        <v>73</v>
      </c>
    </row>
    <row r="74" spans="1:26" s="289" customFormat="1" ht="6" customHeight="1">
      <c r="A74" s="1711"/>
      <c r="B74" s="1711"/>
      <c r="C74" s="297"/>
      <c r="D74" s="2628"/>
      <c r="E74" s="2628"/>
      <c r="F74" s="2628"/>
      <c r="G74" s="2629"/>
      <c r="H74" s="2628"/>
      <c r="I74" s="297"/>
      <c r="J74" s="297"/>
      <c r="K74" s="3307"/>
      <c r="L74" s="3307"/>
      <c r="M74" s="3307"/>
      <c r="N74" s="3307"/>
      <c r="O74" s="3307"/>
      <c r="P74" s="3307"/>
      <c r="Z74" s="1773">
        <v>74</v>
      </c>
    </row>
    <row r="75" spans="1:26" s="289" customFormat="1" ht="13.35" customHeight="1">
      <c r="A75" s="1711" t="s">
        <v>505</v>
      </c>
      <c r="B75" s="313" t="s">
        <v>1146</v>
      </c>
      <c r="D75" s="313"/>
      <c r="E75" s="313"/>
      <c r="F75" s="2628"/>
      <c r="G75" s="2629"/>
      <c r="H75" s="477"/>
      <c r="K75" s="3307"/>
      <c r="L75" s="3307"/>
      <c r="M75" s="3307"/>
      <c r="N75" s="3307"/>
      <c r="O75" s="3307"/>
      <c r="P75" s="3307"/>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6601</v>
      </c>
      <c r="D77" s="1298"/>
      <c r="E77" s="1739" t="s">
        <v>6602</v>
      </c>
      <c r="F77" s="2628"/>
      <c r="G77" s="2629"/>
      <c r="H77" s="3263" t="s">
        <v>2698</v>
      </c>
      <c r="I77" s="3265"/>
      <c r="J77" s="3264"/>
      <c r="K77" s="3162" t="s">
        <v>1692</v>
      </c>
      <c r="L77" s="3162"/>
      <c r="M77" s="3163"/>
      <c r="N77" s="3164"/>
      <c r="O77" s="3164"/>
      <c r="P77" s="316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6603</v>
      </c>
      <c r="K79" s="3166" t="s">
        <v>4025</v>
      </c>
      <c r="L79" s="314" t="s">
        <v>2698</v>
      </c>
      <c r="M79" s="2688">
        <v>48</v>
      </c>
      <c r="N79" s="314" t="s">
        <v>2699</v>
      </c>
      <c r="O79" s="2688"/>
      <c r="P79" s="2621" t="s">
        <v>4024</v>
      </c>
      <c r="Z79" s="1773">
        <v>79</v>
      </c>
    </row>
    <row r="80" spans="1:26" s="289" customFormat="1">
      <c r="A80" s="1711"/>
      <c r="B80" s="1711"/>
      <c r="D80" s="2620"/>
      <c r="E80" s="1298"/>
      <c r="J80" s="1296"/>
      <c r="K80" s="3166"/>
      <c r="L80" s="301" t="s">
        <v>2700</v>
      </c>
      <c r="M80" s="2687"/>
      <c r="N80" s="301" t="s">
        <v>3432</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6604</v>
      </c>
      <c r="D82" s="1298"/>
      <c r="E82" s="1739" t="s">
        <v>6605</v>
      </c>
      <c r="F82" s="2628"/>
      <c r="G82" s="2629"/>
      <c r="H82" s="3316" t="s">
        <v>6777</v>
      </c>
      <c r="I82" s="3317"/>
      <c r="J82" s="3318"/>
      <c r="K82" s="3162" t="s">
        <v>1692</v>
      </c>
      <c r="L82" s="3162"/>
      <c r="M82" s="3163"/>
      <c r="N82" s="3164"/>
      <c r="O82" s="3164"/>
      <c r="P82" s="316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6" t="s">
        <v>4025</v>
      </c>
      <c r="L84" s="314" t="s">
        <v>2698</v>
      </c>
      <c r="M84" s="2688"/>
      <c r="N84" s="314" t="s">
        <v>2699</v>
      </c>
      <c r="O84" s="2688"/>
      <c r="P84" s="2621" t="s">
        <v>4024</v>
      </c>
      <c r="Z84" s="1773">
        <v>84</v>
      </c>
    </row>
    <row r="85" spans="1:26" s="289" customFormat="1">
      <c r="A85" s="1711"/>
      <c r="B85" s="1711"/>
      <c r="D85" s="2620"/>
      <c r="E85" s="1298"/>
      <c r="J85" s="1296"/>
      <c r="K85" s="3166"/>
      <c r="L85" s="301" t="s">
        <v>2700</v>
      </c>
      <c r="M85" s="2687"/>
      <c r="N85" s="301" t="s">
        <v>3432</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3</v>
      </c>
      <c r="K87" s="3162" t="s">
        <v>495</v>
      </c>
      <c r="L87" s="3162"/>
      <c r="N87" s="1748">
        <f>IF('Part VI-Revenues &amp; Expenses'!$P$67=0,0,H87/'Part VI-Revenues &amp; Expenses'!$P$67)</f>
        <v>6.25E-2</v>
      </c>
      <c r="O87" s="301" t="s">
        <v>3330</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0.66666666666666663</v>
      </c>
      <c r="O88" s="301" t="s">
        <v>3330</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1</v>
      </c>
      <c r="K90" s="3162" t="s">
        <v>495</v>
      </c>
      <c r="L90" s="3162"/>
      <c r="N90" s="1364">
        <f>IF('Part VI-Revenues &amp; Expenses'!$P$67=0,0,H90/'Part VI-Revenues &amp; Expenses'!$P$67)</f>
        <v>2.0833333333333332E-2</v>
      </c>
      <c r="O90" s="301" t="s">
        <v>3330</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3991</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3" t="s">
        <v>3977</v>
      </c>
      <c r="L94" s="3265"/>
      <c r="M94" s="3264"/>
      <c r="N94" s="2628"/>
      <c r="Z94" s="1773">
        <v>94</v>
      </c>
    </row>
    <row r="95" spans="1:26" s="289" customFormat="1" ht="1.5" customHeight="1">
      <c r="A95" s="1711"/>
      <c r="B95" s="1711"/>
      <c r="D95" s="2619"/>
      <c r="F95" s="2619"/>
      <c r="G95" s="2619"/>
      <c r="H95" s="454" t="s">
        <v>4097</v>
      </c>
      <c r="L95" s="2629"/>
      <c r="M95" s="2629"/>
      <c r="Z95" s="1773">
        <v>95</v>
      </c>
    </row>
    <row r="96" spans="1:26" s="289" customFormat="1" ht="13.35" customHeight="1">
      <c r="B96" s="1711" t="s">
        <v>1895</v>
      </c>
      <c r="C96" s="291" t="s">
        <v>1473</v>
      </c>
      <c r="K96" s="2621" t="s">
        <v>4012</v>
      </c>
      <c r="N96" s="316"/>
      <c r="P96" s="2690" t="s">
        <v>6869</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3931</v>
      </c>
      <c r="P100" s="2692" t="s">
        <v>2772</v>
      </c>
      <c r="Z100" s="1773">
        <v>100</v>
      </c>
    </row>
    <row r="101" spans="1:26" s="289" customFormat="1" ht="13.35" customHeight="1">
      <c r="A101" s="315"/>
      <c r="B101" s="1711"/>
      <c r="C101" s="291"/>
      <c r="F101" s="2619" t="s">
        <v>3447</v>
      </c>
      <c r="H101" s="2693" t="s">
        <v>2772</v>
      </c>
      <c r="K101" s="2620" t="s">
        <v>6315</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6314</v>
      </c>
      <c r="D105" s="2619"/>
      <c r="H105" s="3263" t="s">
        <v>2479</v>
      </c>
      <c r="I105" s="3264"/>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6"/>
      <c r="F109" s="3137"/>
      <c r="G109" s="3137"/>
      <c r="H109" s="3137"/>
      <c r="I109" s="3137"/>
      <c r="J109" s="3137"/>
      <c r="K109" s="3137"/>
      <c r="L109" s="3138"/>
      <c r="M109" s="3287" t="s">
        <v>526</v>
      </c>
      <c r="N109" s="3287"/>
      <c r="O109" s="3195"/>
      <c r="P109" s="3196"/>
      <c r="Z109" s="1773">
        <v>109</v>
      </c>
    </row>
    <row r="110" spans="1:26" s="289" customFormat="1" ht="13.35" customHeight="1">
      <c r="C110" s="2621" t="s">
        <v>982</v>
      </c>
      <c r="D110" s="301"/>
      <c r="E110" s="3288"/>
      <c r="F110" s="3159"/>
      <c r="G110" s="3159"/>
      <c r="H110" s="3289"/>
      <c r="I110" s="3159"/>
      <c r="J110" s="3289"/>
      <c r="K110" s="3159"/>
      <c r="L110" s="3290"/>
      <c r="M110" s="3287" t="s">
        <v>775</v>
      </c>
      <c r="N110" s="3287"/>
      <c r="O110" s="3291"/>
      <c r="P110" s="3292"/>
      <c r="Z110" s="1773">
        <v>110</v>
      </c>
    </row>
    <row r="111" spans="1:26" s="289" customFormat="1" ht="13.35" customHeight="1">
      <c r="C111" s="2621" t="s">
        <v>588</v>
      </c>
      <c r="E111" s="3153"/>
      <c r="F111" s="3267"/>
      <c r="G111" s="3268"/>
      <c r="H111" s="2623" t="s">
        <v>1717</v>
      </c>
      <c r="I111" s="2694"/>
      <c r="J111" s="317" t="s">
        <v>2128</v>
      </c>
      <c r="K111" s="3280"/>
      <c r="L111" s="3281"/>
      <c r="M111" s="267" t="s">
        <v>3306</v>
      </c>
      <c r="N111" s="267"/>
      <c r="O111" s="3282"/>
      <c r="P111" s="3283"/>
      <c r="Z111" s="1773">
        <v>111</v>
      </c>
    </row>
    <row r="112" spans="1:26" s="289" customFormat="1" ht="13.35" customHeight="1">
      <c r="C112" s="289" t="s">
        <v>2099</v>
      </c>
      <c r="E112" s="3153"/>
      <c r="F112" s="3267"/>
      <c r="G112" s="3268"/>
      <c r="H112" s="846" t="s">
        <v>1890</v>
      </c>
      <c r="I112" s="3269"/>
      <c r="J112" s="3270"/>
      <c r="K112" s="3271"/>
      <c r="L112" s="2645" t="s">
        <v>1894</v>
      </c>
      <c r="M112" s="3136"/>
      <c r="N112" s="3272"/>
      <c r="O112" s="3273"/>
      <c r="P112" s="3274"/>
      <c r="Z112" s="1773">
        <v>112</v>
      </c>
    </row>
    <row r="113" spans="1:26" s="289" customFormat="1" ht="13.35" customHeight="1">
      <c r="C113" s="2621" t="s">
        <v>2098</v>
      </c>
      <c r="E113" s="3275"/>
      <c r="F113" s="3276"/>
      <c r="G113" s="3277"/>
      <c r="H113" s="846" t="s">
        <v>1719</v>
      </c>
      <c r="I113" s="3275"/>
      <c r="J113" s="3278"/>
      <c r="K113" s="2623" t="s">
        <v>2553</v>
      </c>
      <c r="L113" s="3279"/>
      <c r="M113" s="3151"/>
      <c r="N113" s="3151"/>
      <c r="O113" s="3151"/>
      <c r="P113" s="315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1</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900000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8" t="s">
        <v>6860</v>
      </c>
      <c r="D125" s="3169"/>
      <c r="E125" s="3169"/>
      <c r="F125" s="3170" t="s">
        <v>6854</v>
      </c>
      <c r="G125" s="3171"/>
      <c r="H125" s="3266"/>
      <c r="I125" s="2697" t="s">
        <v>6870</v>
      </c>
      <c r="J125" s="3168">
        <v>7</v>
      </c>
      <c r="K125" s="3169"/>
      <c r="L125" s="3169"/>
      <c r="M125" s="3170"/>
      <c r="N125" s="3171"/>
      <c r="O125" s="3266"/>
      <c r="P125" s="2697"/>
      <c r="Z125" s="1773">
        <v>125</v>
      </c>
    </row>
    <row r="126" spans="1:26" s="289" customFormat="1" ht="13.35" customHeight="1">
      <c r="A126" s="1711"/>
      <c r="B126" s="1711"/>
      <c r="C126" s="3173">
        <v>2</v>
      </c>
      <c r="D126" s="3174"/>
      <c r="E126" s="3174"/>
      <c r="F126" s="3175"/>
      <c r="G126" s="3176"/>
      <c r="H126" s="3178"/>
      <c r="I126" s="2698"/>
      <c r="J126" s="3173">
        <v>8</v>
      </c>
      <c r="K126" s="3174"/>
      <c r="L126" s="3174"/>
      <c r="M126" s="3175"/>
      <c r="N126" s="3176"/>
      <c r="O126" s="3178"/>
      <c r="P126" s="2698"/>
      <c r="Z126" s="1773">
        <v>126</v>
      </c>
    </row>
    <row r="127" spans="1:26" s="289" customFormat="1" ht="13.35" customHeight="1">
      <c r="A127" s="1711"/>
      <c r="B127" s="1711"/>
      <c r="C127" s="3173">
        <v>3</v>
      </c>
      <c r="D127" s="3174"/>
      <c r="E127" s="3174"/>
      <c r="F127" s="3175"/>
      <c r="G127" s="3176"/>
      <c r="H127" s="3178"/>
      <c r="I127" s="2698"/>
      <c r="J127" s="3173">
        <v>9</v>
      </c>
      <c r="K127" s="3174"/>
      <c r="L127" s="3174"/>
      <c r="M127" s="3175"/>
      <c r="N127" s="3176"/>
      <c r="O127" s="3178"/>
      <c r="P127" s="2698"/>
      <c r="Z127" s="1773">
        <v>127</v>
      </c>
    </row>
    <row r="128" spans="1:26" s="289" customFormat="1" ht="13.35" customHeight="1">
      <c r="A128" s="1711"/>
      <c r="B128" s="1711"/>
      <c r="C128" s="3173">
        <v>4</v>
      </c>
      <c r="D128" s="3174"/>
      <c r="E128" s="3174"/>
      <c r="F128" s="3175"/>
      <c r="G128" s="3176"/>
      <c r="H128" s="3178"/>
      <c r="I128" s="2698"/>
      <c r="J128" s="3173">
        <v>10</v>
      </c>
      <c r="K128" s="3174"/>
      <c r="L128" s="3174"/>
      <c r="M128" s="3175"/>
      <c r="N128" s="3176"/>
      <c r="O128" s="3178"/>
      <c r="P128" s="2698"/>
      <c r="Z128" s="1773">
        <v>128</v>
      </c>
    </row>
    <row r="129" spans="1:26" s="289" customFormat="1" ht="13.35" customHeight="1">
      <c r="A129" s="1711"/>
      <c r="B129" s="1711"/>
      <c r="C129" s="3173">
        <v>5</v>
      </c>
      <c r="D129" s="3174"/>
      <c r="E129" s="3174"/>
      <c r="F129" s="3175"/>
      <c r="G129" s="3176"/>
      <c r="H129" s="3178"/>
      <c r="I129" s="2698"/>
      <c r="J129" s="3173">
        <v>11</v>
      </c>
      <c r="K129" s="3174"/>
      <c r="L129" s="3174"/>
      <c r="M129" s="3175"/>
      <c r="N129" s="3176"/>
      <c r="O129" s="3178"/>
      <c r="P129" s="2698"/>
      <c r="Z129" s="1773">
        <v>129</v>
      </c>
    </row>
    <row r="130" spans="1:26" s="289" customFormat="1" ht="13.35" customHeight="1">
      <c r="A130" s="1711"/>
      <c r="B130" s="1711"/>
      <c r="C130" s="3179">
        <v>6</v>
      </c>
      <c r="D130" s="3180"/>
      <c r="E130" s="3180"/>
      <c r="F130" s="3259"/>
      <c r="G130" s="3260"/>
      <c r="H130" s="3261"/>
      <c r="I130" s="2699"/>
      <c r="J130" s="3179">
        <v>12</v>
      </c>
      <c r="K130" s="3180"/>
      <c r="L130" s="3180"/>
      <c r="M130" s="3259"/>
      <c r="N130" s="3260"/>
      <c r="O130" s="3261"/>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7" t="s">
        <v>1761</v>
      </c>
      <c r="D132" s="3167"/>
      <c r="E132" s="3167"/>
      <c r="F132" s="3167"/>
      <c r="G132" s="3167"/>
      <c r="H132" s="3167"/>
      <c r="I132" s="3167"/>
      <c r="J132" s="3167"/>
      <c r="K132" s="3167"/>
      <c r="L132" s="3167"/>
      <c r="M132" s="3167"/>
      <c r="N132" s="3167"/>
      <c r="O132" s="3167"/>
      <c r="P132" s="3167"/>
      <c r="Z132" s="1773">
        <v>132</v>
      </c>
    </row>
    <row r="133" spans="1:26" s="289" customFormat="1" ht="13.35" customHeight="1">
      <c r="A133" s="1711"/>
      <c r="B133" s="1711"/>
      <c r="C133" s="3167"/>
      <c r="D133" s="3167"/>
      <c r="E133" s="3167"/>
      <c r="F133" s="3167"/>
      <c r="G133" s="3167"/>
      <c r="H133" s="3167"/>
      <c r="I133" s="3167"/>
      <c r="J133" s="3167"/>
      <c r="K133" s="3167"/>
      <c r="L133" s="3167"/>
      <c r="M133" s="3167"/>
      <c r="N133" s="3167"/>
      <c r="O133" s="3167"/>
      <c r="P133" s="3167"/>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8">
        <v>1</v>
      </c>
      <c r="D135" s="3169"/>
      <c r="E135" s="3169"/>
      <c r="F135" s="3170"/>
      <c r="G135" s="3171"/>
      <c r="H135" s="3171"/>
      <c r="I135" s="3172"/>
      <c r="J135" s="3168">
        <v>7</v>
      </c>
      <c r="K135" s="3169"/>
      <c r="L135" s="3169"/>
      <c r="M135" s="3170"/>
      <c r="N135" s="3171"/>
      <c r="O135" s="3171"/>
      <c r="P135" s="3172"/>
      <c r="Z135" s="1773">
        <v>135</v>
      </c>
    </row>
    <row r="136" spans="1:26" s="289" customFormat="1" ht="13.35" customHeight="1">
      <c r="A136" s="1711"/>
      <c r="B136" s="1711"/>
      <c r="C136" s="3173">
        <v>2</v>
      </c>
      <c r="D136" s="3174"/>
      <c r="E136" s="3174"/>
      <c r="F136" s="3175"/>
      <c r="G136" s="3176"/>
      <c r="H136" s="3176"/>
      <c r="I136" s="3177"/>
      <c r="J136" s="3173">
        <v>8</v>
      </c>
      <c r="K136" s="3174"/>
      <c r="L136" s="3174"/>
      <c r="M136" s="3175"/>
      <c r="N136" s="3176"/>
      <c r="O136" s="3176"/>
      <c r="P136" s="3177"/>
      <c r="Z136" s="1773">
        <v>136</v>
      </c>
    </row>
    <row r="137" spans="1:26" s="289" customFormat="1" ht="13.35" customHeight="1">
      <c r="A137" s="1711"/>
      <c r="B137" s="1711"/>
      <c r="C137" s="3173">
        <v>3</v>
      </c>
      <c r="D137" s="3174"/>
      <c r="E137" s="3174"/>
      <c r="F137" s="3175"/>
      <c r="G137" s="3176"/>
      <c r="H137" s="3176"/>
      <c r="I137" s="3177"/>
      <c r="J137" s="3173">
        <v>9</v>
      </c>
      <c r="K137" s="3174"/>
      <c r="L137" s="3174"/>
      <c r="M137" s="3175"/>
      <c r="N137" s="3176"/>
      <c r="O137" s="3176"/>
      <c r="P137" s="3177"/>
      <c r="Z137" s="1773">
        <v>137</v>
      </c>
    </row>
    <row r="138" spans="1:26" s="289" customFormat="1" ht="13.35" customHeight="1">
      <c r="A138" s="1711"/>
      <c r="B138" s="1711"/>
      <c r="C138" s="3173">
        <v>4</v>
      </c>
      <c r="D138" s="3174"/>
      <c r="E138" s="3174"/>
      <c r="F138" s="3175"/>
      <c r="G138" s="3176"/>
      <c r="H138" s="3176"/>
      <c r="I138" s="3177"/>
      <c r="J138" s="3173">
        <v>10</v>
      </c>
      <c r="K138" s="3174"/>
      <c r="L138" s="3174"/>
      <c r="M138" s="3175"/>
      <c r="N138" s="3176"/>
      <c r="O138" s="3176"/>
      <c r="P138" s="3177"/>
      <c r="Z138" s="1773">
        <v>138</v>
      </c>
    </row>
    <row r="139" spans="1:26" s="289" customFormat="1" ht="13.35" customHeight="1">
      <c r="A139" s="1711"/>
      <c r="B139" s="1711"/>
      <c r="C139" s="3173">
        <v>5</v>
      </c>
      <c r="D139" s="3174"/>
      <c r="E139" s="3174"/>
      <c r="F139" s="3175"/>
      <c r="G139" s="3176"/>
      <c r="H139" s="3176"/>
      <c r="I139" s="3177"/>
      <c r="J139" s="3173">
        <v>11</v>
      </c>
      <c r="K139" s="3174"/>
      <c r="L139" s="3174"/>
      <c r="M139" s="3175"/>
      <c r="N139" s="3176"/>
      <c r="O139" s="3176"/>
      <c r="P139" s="3177"/>
      <c r="Z139" s="1773">
        <v>139</v>
      </c>
    </row>
    <row r="140" spans="1:26" s="289" customFormat="1" ht="13.35" customHeight="1">
      <c r="A140" s="1711"/>
      <c r="B140" s="1711"/>
      <c r="C140" s="3179">
        <v>6</v>
      </c>
      <c r="D140" s="3180"/>
      <c r="E140" s="3180"/>
      <c r="F140" s="3259"/>
      <c r="G140" s="3260"/>
      <c r="H140" s="3260"/>
      <c r="I140" s="3262"/>
      <c r="J140" s="3179">
        <v>12</v>
      </c>
      <c r="K140" s="3180"/>
      <c r="L140" s="3180"/>
      <c r="M140" s="3259"/>
      <c r="N140" s="3260"/>
      <c r="O140" s="3260"/>
      <c r="P140" s="3262"/>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4028</v>
      </c>
      <c r="D142" s="299"/>
      <c r="E142" s="299"/>
      <c r="F142" s="299"/>
      <c r="I142" s="2700" t="s">
        <v>2772</v>
      </c>
      <c r="K142" s="289" t="s">
        <v>6480</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6399</v>
      </c>
      <c r="I144" s="2691" t="s">
        <v>2772</v>
      </c>
      <c r="K144" s="289" t="s">
        <v>6481</v>
      </c>
      <c r="M144" s="2629"/>
      <c r="N144" s="2628"/>
      <c r="O144" s="3181"/>
      <c r="P144" s="3182"/>
      <c r="Z144" s="1773">
        <v>144</v>
      </c>
    </row>
    <row r="145" spans="1:26" s="289" customFormat="1" ht="12" customHeight="1">
      <c r="A145" s="1711"/>
      <c r="B145" s="1711"/>
      <c r="C145" s="2619" t="s">
        <v>2309</v>
      </c>
      <c r="D145" s="2619"/>
      <c r="E145" s="2619"/>
      <c r="F145" s="2629"/>
      <c r="I145" s="2701"/>
      <c r="K145" s="289" t="s">
        <v>6483</v>
      </c>
      <c r="N145" s="2628"/>
      <c r="O145" s="3209"/>
      <c r="P145" s="3210"/>
      <c r="Z145" s="1773">
        <v>145</v>
      </c>
    </row>
    <row r="146" spans="1:26" s="289" customFormat="1" ht="12" customHeight="1">
      <c r="A146" s="1711"/>
      <c r="B146" s="1711"/>
      <c r="C146" s="320" t="s">
        <v>1636</v>
      </c>
      <c r="D146" s="2621"/>
      <c r="I146" s="2680"/>
      <c r="K146" s="289" t="s">
        <v>6484</v>
      </c>
      <c r="O146" s="3211"/>
      <c r="P146" s="3212"/>
      <c r="Z146" s="1773">
        <v>146</v>
      </c>
    </row>
    <row r="147" spans="1:26" s="289" customFormat="1" ht="12" customHeight="1">
      <c r="A147" s="1711"/>
      <c r="B147" s="1711"/>
      <c r="C147" s="2619" t="s">
        <v>2310</v>
      </c>
      <c r="D147" s="2619"/>
      <c r="E147" s="1298"/>
      <c r="F147" s="2629"/>
      <c r="I147" s="2701"/>
      <c r="K147" s="267" t="s">
        <v>2143</v>
      </c>
      <c r="O147" s="3136" t="s">
        <v>464</v>
      </c>
      <c r="P147" s="3138"/>
      <c r="Z147" s="1773">
        <v>147</v>
      </c>
    </row>
    <row r="148" spans="1:26" s="289" customFormat="1" ht="12" customHeight="1">
      <c r="A148" s="1711"/>
      <c r="B148" s="1711"/>
      <c r="C148" s="2619" t="s">
        <v>2308</v>
      </c>
      <c r="F148" s="2629" t="s">
        <v>6397</v>
      </c>
      <c r="G148" s="3185"/>
      <c r="H148" s="3186"/>
      <c r="I148" s="2702"/>
      <c r="K148" s="267" t="s">
        <v>2144</v>
      </c>
      <c r="O148" s="3187" t="s">
        <v>464</v>
      </c>
      <c r="P148" s="3188"/>
      <c r="Z148" s="1773">
        <v>148</v>
      </c>
    </row>
    <row r="149" spans="1:26" s="289" customFormat="1" ht="12" customHeight="1">
      <c r="A149" s="1711"/>
      <c r="B149" s="1711"/>
      <c r="C149" s="2619" t="s">
        <v>2071</v>
      </c>
      <c r="D149" s="2619"/>
      <c r="E149" s="2619"/>
      <c r="F149" s="2629"/>
      <c r="I149" s="3160"/>
      <c r="J149" s="3161"/>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6482</v>
      </c>
      <c r="I151" s="2691" t="s">
        <v>2772</v>
      </c>
      <c r="K151" s="289" t="s">
        <v>6481</v>
      </c>
      <c r="M151" s="2629"/>
      <c r="N151" s="2628"/>
      <c r="O151" s="3181"/>
      <c r="P151" s="3182"/>
      <c r="Z151" s="1773">
        <v>151</v>
      </c>
    </row>
    <row r="152" spans="1:26" s="289" customFormat="1" ht="12" customHeight="1">
      <c r="A152" s="1711"/>
      <c r="B152" s="1711"/>
      <c r="C152" s="2619" t="s">
        <v>6398</v>
      </c>
      <c r="D152" s="2619"/>
      <c r="E152" s="2619"/>
      <c r="F152" s="2629"/>
      <c r="I152" s="2701"/>
      <c r="K152" s="289" t="s">
        <v>6483</v>
      </c>
      <c r="N152" s="2628"/>
      <c r="O152" s="3209"/>
      <c r="P152" s="3210"/>
      <c r="Z152" s="1773">
        <v>152</v>
      </c>
    </row>
    <row r="153" spans="1:26" s="289" customFormat="1" ht="12" customHeight="1">
      <c r="A153" s="1711"/>
      <c r="B153" s="1711"/>
      <c r="C153" s="320" t="s">
        <v>1636</v>
      </c>
      <c r="D153" s="2621"/>
      <c r="I153" s="2680"/>
      <c r="K153" s="289" t="s">
        <v>6484</v>
      </c>
      <c r="O153" s="3211"/>
      <c r="P153" s="3212"/>
      <c r="Z153" s="1773">
        <v>153</v>
      </c>
    </row>
    <row r="154" spans="1:26" s="289" customFormat="1" ht="12" customHeight="1">
      <c r="A154" s="1711"/>
      <c r="B154" s="1711"/>
      <c r="C154" s="2619" t="s">
        <v>2310</v>
      </c>
      <c r="D154" s="2619"/>
      <c r="E154" s="1298"/>
      <c r="F154" s="2629"/>
      <c r="I154" s="2701"/>
      <c r="K154" s="267" t="s">
        <v>2143</v>
      </c>
      <c r="O154" s="3136" t="s">
        <v>464</v>
      </c>
      <c r="P154" s="3138"/>
      <c r="Z154" s="1773">
        <v>154</v>
      </c>
    </row>
    <row r="155" spans="1:26" s="289" customFormat="1" ht="12" customHeight="1">
      <c r="A155" s="1711"/>
      <c r="B155" s="1711"/>
      <c r="C155" s="2619" t="s">
        <v>2308</v>
      </c>
      <c r="F155" s="2629" t="s">
        <v>6397</v>
      </c>
      <c r="G155" s="3185"/>
      <c r="H155" s="3186"/>
      <c r="I155" s="2702"/>
      <c r="K155" s="267" t="s">
        <v>2144</v>
      </c>
      <c r="O155" s="3187" t="s">
        <v>464</v>
      </c>
      <c r="P155" s="3188"/>
      <c r="Z155" s="1773">
        <v>155</v>
      </c>
    </row>
    <row r="156" spans="1:26" s="289" customFormat="1" ht="12" customHeight="1">
      <c r="A156" s="1711"/>
      <c r="B156" s="1711"/>
      <c r="C156" s="2619" t="s">
        <v>2071</v>
      </c>
      <c r="D156" s="2619"/>
      <c r="E156" s="2619"/>
      <c r="F156" s="2629"/>
      <c r="I156" s="3160"/>
      <c r="J156" s="3161"/>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4086</v>
      </c>
      <c r="F158" s="312"/>
      <c r="G158" s="312"/>
      <c r="I158" s="2703" t="s">
        <v>2772</v>
      </c>
      <c r="K158" s="312" t="s">
        <v>4088</v>
      </c>
      <c r="L158" s="312"/>
      <c r="M158" s="312"/>
      <c r="O158" s="2704" t="s">
        <v>2772</v>
      </c>
      <c r="P158" s="298"/>
      <c r="Z158" s="1773">
        <v>158</v>
      </c>
    </row>
    <row r="159" spans="1:26" s="289" customFormat="1" ht="12" customHeight="1">
      <c r="A159" s="1711"/>
      <c r="C159" s="1298"/>
      <c r="D159" s="2619"/>
      <c r="E159" s="312" t="s">
        <v>4087</v>
      </c>
      <c r="F159" s="312"/>
      <c r="G159" s="312"/>
      <c r="I159" s="2705" t="s">
        <v>2772</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4085</v>
      </c>
      <c r="D161" s="2619"/>
      <c r="E161" s="2619"/>
      <c r="F161" s="2629"/>
      <c r="I161" s="2695" t="s">
        <v>2772</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3"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3"/>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3"/>
      <c r="Z165" s="1773">
        <v>165</v>
      </c>
    </row>
    <row r="166" spans="1:26" s="289" customFormat="1" ht="12.6" customHeight="1">
      <c r="A166" s="1711"/>
      <c r="B166" s="1711"/>
      <c r="C166" s="312" t="s">
        <v>1466</v>
      </c>
      <c r="D166" s="305"/>
      <c r="E166" s="305"/>
      <c r="F166" s="2629"/>
      <c r="G166" s="2629"/>
      <c r="H166" s="2629"/>
      <c r="I166" s="2704" t="s">
        <v>2772</v>
      </c>
      <c r="N166" s="2628"/>
      <c r="O166" s="2628"/>
      <c r="P166" s="3184"/>
      <c r="Z166" s="1773">
        <v>166</v>
      </c>
    </row>
    <row r="167" spans="1:26" s="289" customFormat="1" ht="12.6" customHeight="1">
      <c r="A167" s="1711"/>
      <c r="B167" s="1711"/>
      <c r="C167" s="469" t="s">
        <v>6303</v>
      </c>
      <c r="D167" s="842"/>
      <c r="E167" s="842"/>
      <c r="F167" s="842"/>
      <c r="I167" s="289" t="s">
        <v>3964</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3963</v>
      </c>
      <c r="K168" s="469"/>
      <c r="L168" s="469"/>
      <c r="N168" s="2706"/>
      <c r="P168" s="1258">
        <f>IF('Part VI-Revenues &amp; Expenses'!$P$65=0,0,N168/'Part VI-Revenues &amp; Expenses'!$P$65)</f>
        <v>0</v>
      </c>
      <c r="Z168" s="1773">
        <v>168</v>
      </c>
    </row>
    <row r="169" spans="1:26" s="289" customFormat="1" ht="12" customHeight="1">
      <c r="A169" s="1711"/>
      <c r="B169" s="1711"/>
      <c r="C169" s="312" t="s">
        <v>6304</v>
      </c>
      <c r="D169" s="305"/>
      <c r="E169" s="305"/>
      <c r="F169" s="2629"/>
      <c r="G169" s="2629"/>
      <c r="H169" s="2629"/>
      <c r="I169" s="2704"/>
      <c r="J169" s="2621" t="s">
        <v>6305</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6"/>
      <c r="E171" s="3137"/>
      <c r="F171" s="3137"/>
      <c r="G171" s="3137"/>
      <c r="H171" s="3138"/>
      <c r="I171" s="2621" t="s">
        <v>3929</v>
      </c>
      <c r="N171" s="3133"/>
      <c r="O171" s="3134"/>
      <c r="P171" s="3135"/>
      <c r="Z171" s="1773">
        <v>171</v>
      </c>
    </row>
    <row r="172" spans="1:26" s="289" customFormat="1" ht="12.6" customHeight="1">
      <c r="A172" s="1711"/>
      <c r="B172" s="1711"/>
      <c r="C172" s="2621" t="s">
        <v>3930</v>
      </c>
      <c r="D172" s="3153"/>
      <c r="E172" s="3154"/>
      <c r="F172" s="3159"/>
      <c r="G172" s="3154"/>
      <c r="H172" s="3155"/>
      <c r="I172" s="2627" t="s">
        <v>1716</v>
      </c>
      <c r="J172" s="3136"/>
      <c r="K172" s="3137"/>
      <c r="L172" s="3138"/>
      <c r="M172" s="1247" t="s">
        <v>1890</v>
      </c>
      <c r="N172" s="3153"/>
      <c r="O172" s="3154"/>
      <c r="P172" s="3155"/>
      <c r="Z172" s="1773">
        <v>172</v>
      </c>
    </row>
    <row r="173" spans="1:26" s="289" customFormat="1" ht="12.6" customHeight="1">
      <c r="A173" s="1711"/>
      <c r="B173" s="1711"/>
      <c r="C173" s="2621" t="s">
        <v>588</v>
      </c>
      <c r="D173" s="3153"/>
      <c r="E173" s="3155"/>
      <c r="F173" s="1245" t="s">
        <v>2128</v>
      </c>
      <c r="G173" s="3142"/>
      <c r="H173" s="3143"/>
      <c r="I173" s="321" t="s">
        <v>1719</v>
      </c>
      <c r="J173" s="3139"/>
      <c r="K173" s="3140"/>
      <c r="L173" s="3141"/>
      <c r="M173" s="1246" t="s">
        <v>1889</v>
      </c>
      <c r="N173" s="3139"/>
      <c r="O173" s="3140"/>
      <c r="P173" s="3141"/>
      <c r="Z173" s="1773">
        <v>173</v>
      </c>
    </row>
    <row r="174" spans="1:26" s="289" customFormat="1" ht="12.6" customHeight="1">
      <c r="A174" s="1711"/>
      <c r="B174" s="1711"/>
      <c r="C174" s="289" t="s">
        <v>2553</v>
      </c>
      <c r="D174" s="3156"/>
      <c r="E174" s="3157"/>
      <c r="F174" s="3157"/>
      <c r="G174" s="3157"/>
      <c r="H174" s="3158"/>
      <c r="I174" s="321" t="s">
        <v>1718</v>
      </c>
      <c r="J174" s="3150"/>
      <c r="K174" s="3151"/>
      <c r="L174" s="3151"/>
      <c r="M174" s="3151"/>
      <c r="N174" s="3151"/>
      <c r="O174" s="3151"/>
      <c r="P174" s="3152"/>
      <c r="Z174" s="1773">
        <v>174</v>
      </c>
    </row>
    <row r="175" spans="1:26" s="289" customFormat="1" ht="12" customHeight="1">
      <c r="A175" s="1711"/>
      <c r="B175" s="1711"/>
      <c r="C175" s="289" t="s">
        <v>3965</v>
      </c>
      <c r="E175" s="322"/>
      <c r="F175" s="322"/>
      <c r="G175" s="322"/>
      <c r="H175" s="2629"/>
      <c r="I175" s="2704"/>
      <c r="J175" s="3144" t="s">
        <v>731</v>
      </c>
      <c r="K175" s="3145"/>
      <c r="L175" s="2695"/>
      <c r="M175" s="322"/>
      <c r="N175" s="2629"/>
      <c r="O175" s="322"/>
      <c r="P175" s="322"/>
      <c r="Z175" s="1773">
        <v>175</v>
      </c>
    </row>
    <row r="176" spans="1:26" s="289" customFormat="1" ht="12" customHeight="1">
      <c r="A176" s="1711"/>
      <c r="B176" s="1711"/>
      <c r="C176" s="3149" t="s">
        <v>6523</v>
      </c>
      <c r="D176" s="3149"/>
      <c r="E176" s="3149"/>
      <c r="F176" s="3149"/>
      <c r="G176" s="3149"/>
      <c r="H176" s="3149"/>
      <c r="I176" s="3149"/>
      <c r="J176" s="3149"/>
      <c r="K176" s="842"/>
      <c r="M176" s="842"/>
      <c r="Z176" s="1773">
        <v>176</v>
      </c>
    </row>
    <row r="177" spans="1:26" s="289" customFormat="1" ht="12" customHeight="1">
      <c r="A177" s="1711"/>
      <c r="B177" s="1711"/>
      <c r="C177" s="3149"/>
      <c r="D177" s="3149"/>
      <c r="E177" s="3149"/>
      <c r="F177" s="3149"/>
      <c r="G177" s="3149"/>
      <c r="H177" s="3149"/>
      <c r="I177" s="3149"/>
      <c r="J177" s="3149"/>
      <c r="K177" s="842"/>
      <c r="L177" s="2704"/>
      <c r="M177" s="842"/>
      <c r="N177" s="3217" t="s">
        <v>731</v>
      </c>
      <c r="O177" s="3145"/>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218" t="s">
        <v>731</v>
      </c>
      <c r="K179" s="3219"/>
      <c r="L179" s="2692"/>
      <c r="M179" s="3146" t="s">
        <v>2222</v>
      </c>
      <c r="N179" s="3147"/>
      <c r="O179" s="3148"/>
      <c r="P179" s="2707"/>
      <c r="Z179" s="1773">
        <v>179</v>
      </c>
    </row>
    <row r="180" spans="1:26" s="289" customFormat="1" ht="12.6" customHeight="1">
      <c r="A180" s="1711"/>
      <c r="B180" s="1711"/>
      <c r="C180" s="1662" t="s">
        <v>2552</v>
      </c>
      <c r="D180" s="1662"/>
      <c r="E180" s="1662"/>
      <c r="F180" s="1662"/>
      <c r="G180" s="1662"/>
      <c r="I180" s="2693" t="s">
        <v>2769</v>
      </c>
      <c r="J180" s="3218" t="s">
        <v>731</v>
      </c>
      <c r="K180" s="3219"/>
      <c r="L180" s="2693"/>
      <c r="M180" s="3146" t="s">
        <v>2222</v>
      </c>
      <c r="N180" s="3147"/>
      <c r="O180" s="3148"/>
      <c r="P180" s="2708"/>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6799</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6488</v>
      </c>
      <c r="E185" s="307"/>
      <c r="F185" s="1613"/>
      <c r="G185" s="1613"/>
      <c r="H185" s="1613"/>
      <c r="I185" s="481"/>
      <c r="J185" s="481"/>
      <c r="K185" s="481"/>
      <c r="L185" s="2711" t="s">
        <v>2772</v>
      </c>
      <c r="M185" s="267" t="s">
        <v>6489</v>
      </c>
      <c r="N185" s="1613"/>
      <c r="O185" s="3213"/>
      <c r="P185" s="3214"/>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6489</v>
      </c>
      <c r="N186" s="1613"/>
      <c r="O186" s="3215"/>
      <c r="P186" s="3216"/>
      <c r="Z186" s="1773">
        <v>186</v>
      </c>
    </row>
    <row r="187" spans="1:26" s="27" customFormat="1" ht="12" customHeight="1">
      <c r="B187" s="325"/>
      <c r="C187" s="2710" t="s">
        <v>2416</v>
      </c>
      <c r="D187" s="267" t="s">
        <v>6490</v>
      </c>
      <c r="E187" s="307"/>
      <c r="F187" s="1613"/>
      <c r="G187" s="1613"/>
      <c r="H187" s="1613"/>
      <c r="I187" s="481"/>
      <c r="J187" s="481"/>
      <c r="K187" s="481"/>
      <c r="L187" s="2713" t="s">
        <v>2772</v>
      </c>
      <c r="M187" s="267" t="s">
        <v>6489</v>
      </c>
      <c r="N187" s="1613"/>
      <c r="O187" s="3220"/>
      <c r="P187" s="3221"/>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6802</v>
      </c>
      <c r="D189" s="1613"/>
      <c r="E189" s="1613"/>
      <c r="F189" s="1613"/>
      <c r="G189" s="1613"/>
      <c r="H189" s="3222" t="str">
        <f>IF(AND(O185="",O186="",O187=""),"",MIN(O185:P187))</f>
        <v/>
      </c>
      <c r="I189" s="3223"/>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252" t="s">
        <v>6804</v>
      </c>
      <c r="I191" s="3253"/>
      <c r="J191" s="3240" t="s">
        <v>6789</v>
      </c>
      <c r="K191" s="3241"/>
      <c r="L191" s="3233" t="s">
        <v>6788</v>
      </c>
      <c r="M191" s="3233"/>
      <c r="N191" s="3233"/>
      <c r="O191" s="3233"/>
      <c r="P191" s="3233"/>
      <c r="Z191" s="1773">
        <v>191</v>
      </c>
    </row>
    <row r="192" spans="1:26" s="27" customFormat="1">
      <c r="A192" s="2717"/>
      <c r="B192" s="166"/>
      <c r="C192" s="2721" t="s">
        <v>6800</v>
      </c>
      <c r="D192" s="2722"/>
      <c r="E192" s="2722"/>
      <c r="F192" s="2723" t="s">
        <v>6782</v>
      </c>
      <c r="G192" s="2723" t="s">
        <v>6783</v>
      </c>
      <c r="H192" s="2724" t="str">
        <f>IF($H$189="","",$H$189)</f>
        <v/>
      </c>
      <c r="I192" s="2725" t="s">
        <v>6784</v>
      </c>
      <c r="J192" s="3242"/>
      <c r="K192" s="3243"/>
      <c r="L192" s="3234"/>
      <c r="M192" s="3234"/>
      <c r="N192" s="3234"/>
      <c r="O192" s="3234"/>
      <c r="P192" s="3234"/>
      <c r="R192" s="307"/>
      <c r="S192" s="307"/>
      <c r="T192" s="307"/>
      <c r="U192" s="307"/>
      <c r="V192" s="307"/>
      <c r="Z192" s="1773">
        <v>192</v>
      </c>
    </row>
    <row r="193" spans="1:26" s="27" customFormat="1" ht="12" customHeight="1">
      <c r="A193" s="2726"/>
      <c r="B193" s="325"/>
      <c r="C193" s="166" t="s">
        <v>6785</v>
      </c>
      <c r="D193" s="359"/>
      <c r="E193" s="2633"/>
      <c r="F193" s="2727"/>
      <c r="G193" s="2727"/>
      <c r="H193" s="2728"/>
      <c r="I193" s="2728"/>
      <c r="J193" s="3247"/>
      <c r="K193" s="3248"/>
      <c r="L193" s="3249"/>
      <c r="M193" s="3250"/>
      <c r="N193" s="3250"/>
      <c r="O193" s="3250"/>
      <c r="P193" s="3251"/>
      <c r="R193" s="307"/>
      <c r="S193" s="307"/>
      <c r="T193" s="307"/>
      <c r="U193" s="307"/>
      <c r="V193" s="307"/>
      <c r="Z193" s="1773">
        <v>193</v>
      </c>
    </row>
    <row r="194" spans="1:26" s="27" customFormat="1" ht="12" customHeight="1">
      <c r="A194" s="2729"/>
      <c r="B194" s="325"/>
      <c r="C194" s="166" t="s">
        <v>6786</v>
      </c>
      <c r="D194" s="359"/>
      <c r="E194" s="2633"/>
      <c r="F194" s="2730"/>
      <c r="G194" s="2730"/>
      <c r="H194" s="2731"/>
      <c r="I194" s="2731"/>
      <c r="J194" s="3238"/>
      <c r="K194" s="3239"/>
      <c r="L194" s="3235"/>
      <c r="M194" s="3236"/>
      <c r="N194" s="3236"/>
      <c r="O194" s="3236"/>
      <c r="P194" s="3237"/>
      <c r="R194" s="307"/>
      <c r="S194" s="307"/>
      <c r="T194" s="307"/>
      <c r="U194" s="307"/>
      <c r="V194" s="307"/>
      <c r="Z194" s="1773">
        <v>194</v>
      </c>
    </row>
    <row r="195" spans="1:26" s="27" customFormat="1" ht="12" customHeight="1">
      <c r="A195" s="2729"/>
      <c r="B195" s="325"/>
      <c r="C195" s="166" t="s">
        <v>6491</v>
      </c>
      <c r="D195" s="166"/>
      <c r="E195" s="289"/>
      <c r="F195" s="2730"/>
      <c r="G195" s="2730"/>
      <c r="H195" s="2731"/>
      <c r="I195" s="2731"/>
      <c r="J195" s="3238"/>
      <c r="K195" s="3239"/>
      <c r="L195" s="3235"/>
      <c r="M195" s="3236"/>
      <c r="N195" s="3236"/>
      <c r="O195" s="3236"/>
      <c r="P195" s="3237"/>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238"/>
      <c r="K196" s="3239"/>
      <c r="L196" s="3235"/>
      <c r="M196" s="3236"/>
      <c r="N196" s="3236"/>
      <c r="O196" s="3236"/>
      <c r="P196" s="3237"/>
      <c r="R196" s="307"/>
      <c r="S196" s="307"/>
      <c r="T196" s="307"/>
      <c r="U196" s="307"/>
      <c r="V196" s="307"/>
      <c r="Z196" s="1773">
        <v>196</v>
      </c>
    </row>
    <row r="197" spans="1:26" s="27" customFormat="1" ht="12" customHeight="1">
      <c r="A197" s="2732"/>
      <c r="B197" s="325"/>
      <c r="C197" s="3244" t="s">
        <v>6801</v>
      </c>
      <c r="D197" s="3245"/>
      <c r="E197" s="3246"/>
      <c r="F197" s="2733"/>
      <c r="G197" s="2733"/>
      <c r="H197" s="2734"/>
      <c r="I197" s="2734"/>
      <c r="J197" s="3254"/>
      <c r="K197" s="3255"/>
      <c r="L197" s="3256"/>
      <c r="M197" s="3257"/>
      <c r="N197" s="3257"/>
      <c r="O197" s="3257"/>
      <c r="P197" s="3258"/>
      <c r="R197" s="307"/>
      <c r="S197" s="307"/>
      <c r="T197" s="307"/>
      <c r="U197" s="307"/>
      <c r="V197" s="307"/>
      <c r="Z197" s="1773">
        <v>197</v>
      </c>
    </row>
    <row r="198" spans="1:26" s="27" customFormat="1" ht="13.5" customHeight="1">
      <c r="A198" s="2732"/>
      <c r="B198" s="489" t="s">
        <v>6803</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4"/>
      <c r="C199" s="3225"/>
      <c r="D199" s="3225"/>
      <c r="E199" s="3225"/>
      <c r="F199" s="3225"/>
      <c r="G199" s="3225"/>
      <c r="H199" s="3225"/>
      <c r="I199" s="3225"/>
      <c r="J199" s="3225"/>
      <c r="K199" s="3225"/>
      <c r="L199" s="3225"/>
      <c r="M199" s="3225"/>
      <c r="N199" s="3225"/>
      <c r="O199" s="3225"/>
      <c r="P199" s="3226"/>
      <c r="Z199" s="1773">
        <v>199</v>
      </c>
    </row>
    <row r="200" spans="1:26" s="27" customFormat="1" ht="22.5" customHeight="1">
      <c r="A200" s="2732"/>
      <c r="B200" s="3227"/>
      <c r="C200" s="3228"/>
      <c r="D200" s="3228"/>
      <c r="E200" s="3228"/>
      <c r="F200" s="3228"/>
      <c r="G200" s="3228"/>
      <c r="H200" s="3228"/>
      <c r="I200" s="3228"/>
      <c r="J200" s="3228"/>
      <c r="K200" s="3228"/>
      <c r="L200" s="3228"/>
      <c r="M200" s="3228"/>
      <c r="N200" s="3228"/>
      <c r="O200" s="3228"/>
      <c r="P200" s="3229"/>
      <c r="Z200" s="1773">
        <v>200</v>
      </c>
    </row>
    <row r="201" spans="1:26" s="27" customFormat="1" ht="22.5" customHeight="1">
      <c r="A201" s="2743"/>
      <c r="B201" s="3230"/>
      <c r="C201" s="3231"/>
      <c r="D201" s="3231"/>
      <c r="E201" s="3231"/>
      <c r="F201" s="3231"/>
      <c r="G201" s="3231"/>
      <c r="H201" s="3231"/>
      <c r="I201" s="3231"/>
      <c r="J201" s="3231"/>
      <c r="K201" s="3231"/>
      <c r="L201" s="3231"/>
      <c r="M201" s="3231"/>
      <c r="N201" s="3231"/>
      <c r="O201" s="3231"/>
      <c r="P201" s="3232"/>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6545</v>
      </c>
      <c r="M205" s="2628"/>
      <c r="N205" s="2628"/>
      <c r="P205" s="2702" t="s">
        <v>2772</v>
      </c>
      <c r="Z205" s="1773">
        <v>205</v>
      </c>
    </row>
    <row r="206" spans="1:26" s="289" customFormat="1" ht="12.6" customHeight="1">
      <c r="A206" s="1711"/>
      <c r="C206" s="2628" t="s">
        <v>2567</v>
      </c>
      <c r="I206" s="2702" t="s">
        <v>2772</v>
      </c>
      <c r="L206" s="2628" t="s">
        <v>2541</v>
      </c>
      <c r="N206" s="3189"/>
      <c r="O206" s="3190"/>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4127</v>
      </c>
      <c r="I208" s="2702" t="s">
        <v>2772</v>
      </c>
      <c r="J208" s="323" t="s">
        <v>2585</v>
      </c>
      <c r="O208" s="3191"/>
      <c r="P208" s="3192"/>
      <c r="Z208" s="1773">
        <v>208</v>
      </c>
    </row>
    <row r="209" spans="1:26" s="289" customFormat="1" ht="12.6" customHeight="1">
      <c r="A209" s="1711"/>
      <c r="B209" s="291"/>
      <c r="C209" s="2628" t="s">
        <v>1723</v>
      </c>
      <c r="I209" s="2702" t="s">
        <v>2772</v>
      </c>
      <c r="J209" s="323" t="s">
        <v>2585</v>
      </c>
      <c r="O209" s="3207"/>
      <c r="P209" s="3208"/>
      <c r="Z209" s="1773">
        <v>209</v>
      </c>
    </row>
    <row r="210" spans="1:26" s="289" customFormat="1" ht="12.6" customHeight="1">
      <c r="A210" s="1711"/>
      <c r="B210" s="1711"/>
      <c r="C210" s="2628" t="s">
        <v>2690</v>
      </c>
      <c r="I210" s="2702" t="s">
        <v>2772</v>
      </c>
      <c r="J210" s="323" t="s">
        <v>2585</v>
      </c>
      <c r="O210" s="3193"/>
      <c r="P210" s="3194"/>
      <c r="Z210" s="1773">
        <v>210</v>
      </c>
    </row>
    <row r="211" spans="1:26" s="289" customFormat="1" ht="12.6" customHeight="1">
      <c r="A211" s="1711"/>
      <c r="B211" s="1711"/>
      <c r="C211" s="289" t="s">
        <v>6400</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5"/>
      <c r="J213" s="3196"/>
      <c r="Z213" s="1773">
        <v>213</v>
      </c>
    </row>
    <row r="214" spans="1:26" s="289" customFormat="1" ht="12.6" customHeight="1">
      <c r="A214" s="1711"/>
      <c r="B214" s="1711"/>
      <c r="D214" s="2619"/>
      <c r="E214" s="2619"/>
      <c r="F214" s="2621" t="s">
        <v>265</v>
      </c>
      <c r="I214" s="3203"/>
      <c r="J214" s="3204"/>
      <c r="Z214" s="1773">
        <v>214</v>
      </c>
    </row>
    <row r="215" spans="1:26" s="289" customFormat="1" ht="12.6" customHeight="1">
      <c r="A215" s="1711"/>
      <c r="B215" s="1711"/>
      <c r="D215" s="2619"/>
      <c r="E215" s="2619"/>
      <c r="F215" s="2621" t="s">
        <v>2192</v>
      </c>
      <c r="I215" s="3205">
        <v>45139</v>
      </c>
      <c r="J215" s="3206"/>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7" t="s">
        <v>6978</v>
      </c>
      <c r="B218" s="3198"/>
      <c r="C218" s="3198"/>
      <c r="D218" s="3198"/>
      <c r="E218" s="3198"/>
      <c r="F218" s="3198"/>
      <c r="G218" s="3198"/>
      <c r="H218" s="3198"/>
      <c r="I218" s="3198"/>
      <c r="J218" s="3198"/>
      <c r="K218" s="3198"/>
      <c r="L218" s="3199"/>
      <c r="M218" s="3200"/>
      <c r="N218" s="3201"/>
      <c r="O218" s="3201"/>
      <c r="P218" s="3202"/>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uNwyPn19PuI6dXJ/I8/2CKiFylgwbifBCaSPDomywnSkPPbIYcGBilCnZW/eQbxfKZE6U3CX5kJ54btOKbQppA==" saltValue="OBpl6ipAUyPKIWe5ybVRo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2021-014  Dunbar Court</v>
      </c>
      <c r="B1" s="4475"/>
      <c r="C1" s="4475"/>
      <c r="D1" s="4475"/>
      <c r="E1" s="4475"/>
      <c r="F1" s="4475"/>
      <c r="G1" s="4475"/>
      <c r="H1" s="4475"/>
    </row>
    <row r="3" spans="1:13" ht="12" customHeight="1">
      <c r="A3" s="4476" t="s">
        <v>3226</v>
      </c>
      <c r="B3" s="4476"/>
      <c r="C3" s="4476"/>
      <c r="D3" s="4476"/>
      <c r="E3" s="4476"/>
      <c r="F3" s="4476"/>
      <c r="G3" s="4476"/>
      <c r="H3" s="4476"/>
      <c r="I3" s="1097"/>
      <c r="J3" s="4478" t="s">
        <v>3612</v>
      </c>
      <c r="K3" s="4478"/>
      <c r="L3" s="735"/>
      <c r="M3" s="735"/>
    </row>
    <row r="4" spans="1:13">
      <c r="J4" s="4478"/>
      <c r="K4" s="4478"/>
    </row>
    <row r="5" spans="1:13" ht="12" customHeight="1">
      <c r="A5" s="699">
        <v>1</v>
      </c>
      <c r="C5" s="699" t="s">
        <v>2859</v>
      </c>
      <c r="E5" s="717" t="str">
        <f>'Sensitivity Analysis'!H9</f>
        <v>Dunbar Court, LP</v>
      </c>
      <c r="J5" s="4478"/>
      <c r="K5" s="4478"/>
    </row>
    <row r="6" spans="1:13" ht="3" customHeight="1">
      <c r="H6" s="701"/>
      <c r="J6" s="4478"/>
      <c r="K6" s="4478"/>
    </row>
    <row r="7" spans="1:13" ht="12" customHeight="1">
      <c r="A7" s="699">
        <v>2</v>
      </c>
      <c r="C7" s="699" t="s">
        <v>2860</v>
      </c>
      <c r="E7" s="717" t="str">
        <f>'Part II-Development Team'!H7</f>
        <v>730 N. Dean Road, Suite 100</v>
      </c>
      <c r="J7" s="4478"/>
      <c r="K7" s="4478"/>
    </row>
    <row r="8" spans="1:13" ht="12" customHeight="1">
      <c r="E8" s="717" t="str">
        <f>+'Part II-Development Team'!H8&amp;","&amp;" "&amp;'Part II-Development Team'!H9&amp;" "&amp;LEFT('Part II-Development Team'!J9,5)</f>
        <v>Auburn, AL 36830</v>
      </c>
      <c r="J8" s="4478"/>
      <c r="K8" s="4478"/>
    </row>
    <row r="9" spans="1:13" ht="12" customHeight="1">
      <c r="C9" s="699" t="s">
        <v>2861</v>
      </c>
      <c r="E9" s="4477" t="str">
        <f>'Part II-Development Team'!L8</f>
        <v>TBD</v>
      </c>
      <c r="F9" s="4477"/>
      <c r="J9" s="4478"/>
      <c r="K9" s="4478"/>
    </row>
    <row r="10" spans="1:13" ht="12" customHeight="1">
      <c r="C10" s="699" t="s">
        <v>2862</v>
      </c>
      <c r="E10" s="717" t="str">
        <f>'Part II-Development Team'!Q6</f>
        <v>Fred Bennett</v>
      </c>
    </row>
    <row r="11" spans="1:13" ht="12" customHeight="1">
      <c r="C11" s="699" t="s">
        <v>3617</v>
      </c>
      <c r="E11" s="717" t="str">
        <f>'Part II-Development Team'!L10</f>
        <v>fred@thebennettgrp.net</v>
      </c>
    </row>
    <row r="12" spans="1:13" ht="12" customHeight="1">
      <c r="C12" s="699" t="s">
        <v>3613</v>
      </c>
      <c r="E12" s="1098">
        <f>'Part II-Development Team'!H10</f>
        <v>3343210529</v>
      </c>
    </row>
    <row r="13" spans="1:13" ht="12" customHeight="1">
      <c r="C13" s="699" t="s">
        <v>3616</v>
      </c>
      <c r="E13" s="1098">
        <f>'Part II-Development Team'!Q8</f>
        <v>3343210529</v>
      </c>
    </row>
    <row r="14" spans="1:13" ht="3" customHeight="1"/>
    <row r="15" spans="1:13" ht="12" customHeight="1">
      <c r="A15" s="699">
        <v>3</v>
      </c>
      <c r="C15" s="699" t="s">
        <v>2863</v>
      </c>
      <c r="E15" s="717" t="str">
        <f>'Sensitivity Analysis'!C8</f>
        <v>Dunbar Court</v>
      </c>
    </row>
    <row r="16" spans="1:13" ht="12" customHeight="1">
      <c r="C16" s="699" t="s">
        <v>2864</v>
      </c>
      <c r="E16" s="717" t="str">
        <f>'Part I-Project Information'!$F$36</f>
        <v>New Dunbar Road</v>
      </c>
    </row>
    <row r="17" spans="1:8" ht="12" customHeight="1">
      <c r="E17" s="717" t="str">
        <f>+'Part I-Project Information'!$F$39&amp;","&amp;" GA "&amp;LEFT('Part I-Project Information'!$J$39,5)</f>
        <v>Byron, GA 31008</v>
      </c>
    </row>
    <row r="18" spans="1:8" ht="3" customHeight="1"/>
    <row r="19" spans="1:8" ht="12" customHeight="1">
      <c r="A19" s="699">
        <v>4</v>
      </c>
      <c r="C19" s="699" t="s">
        <v>2865</v>
      </c>
      <c r="E19" s="717" t="str">
        <f>'Part II-Development Team'!H93</f>
        <v>Fairway Management Co.,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3613</v>
      </c>
      <c r="E22" s="1098">
        <f>'Part II-Development Team'!H97</f>
        <v>5734432021</v>
      </c>
    </row>
    <row r="23" spans="1:8" ht="12" customHeight="1">
      <c r="C23" s="699" t="s">
        <v>3616</v>
      </c>
      <c r="E23" s="1098">
        <f>'Part II-Development Team'!Q95</f>
        <v>5734432021</v>
      </c>
    </row>
    <row r="24" spans="1:8" ht="12" customHeight="1">
      <c r="C24" s="699" t="s">
        <v>3617</v>
      </c>
      <c r="E24" s="1098"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7662012</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120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Dunbar Court GP, Inc.</v>
      </c>
    </row>
    <row r="48" spans="1:7" ht="3" customHeight="1">
      <c r="E48" s="717"/>
    </row>
    <row r="49" spans="1:7" ht="12" customHeight="1">
      <c r="A49" s="699">
        <v>15</v>
      </c>
      <c r="C49" s="699" t="s">
        <v>3619</v>
      </c>
      <c r="E49" s="717" t="str">
        <f>'Part II-Development Team'!Q99</f>
        <v>Atkins Roberts</v>
      </c>
      <c r="G49" s="717" t="str">
        <f>'Part II-Development Team'!H99</f>
        <v>Bradley</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48</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3618</v>
      </c>
    </row>
    <row r="57" spans="1:7" ht="3" customHeight="1">
      <c r="F57" s="708"/>
    </row>
    <row r="58" spans="1:7" ht="12" customHeight="1">
      <c r="A58" s="699">
        <v>19</v>
      </c>
      <c r="C58" s="699" t="s">
        <v>2887</v>
      </c>
      <c r="F58" s="1634">
        <f>'Part VIII-Threshold Criteria'!$P$83</f>
        <v>2</v>
      </c>
      <c r="G58" s="699" t="s">
        <v>3227</v>
      </c>
    </row>
    <row r="59" spans="1:7" ht="3" customHeight="1">
      <c r="F59" s="708"/>
    </row>
    <row r="60" spans="1:7" ht="12" customHeight="1">
      <c r="A60" s="699">
        <v>20</v>
      </c>
      <c r="C60" s="699" t="s">
        <v>2888</v>
      </c>
      <c r="F60" s="1106">
        <f>'Subsidy Layering Memo'!$L$70</f>
        <v>-594425.57186896889</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6412</v>
      </c>
    </row>
    <row r="64" spans="1:7" ht="12" customHeight="1">
      <c r="E64" s="1107" t="s">
        <v>3228</v>
      </c>
      <c r="F64" s="1108" t="s">
        <v>3229</v>
      </c>
      <c r="G64" s="1107" t="s">
        <v>6413</v>
      </c>
    </row>
    <row r="65" spans="1:7" ht="12" customHeight="1">
      <c r="E65" s="1107" t="s">
        <v>3228</v>
      </c>
      <c r="F65" s="1108" t="s">
        <v>3229</v>
      </c>
      <c r="G65" s="1107" t="s">
        <v>6414</v>
      </c>
    </row>
    <row r="66" spans="1:7" ht="3" customHeight="1"/>
    <row r="67" spans="1:7" ht="12" customHeight="1">
      <c r="A67" s="699">
        <v>22</v>
      </c>
      <c r="C67" s="699" t="s">
        <v>2890</v>
      </c>
      <c r="E67" s="717" t="str">
        <f>'Sensitivity Analysis'!H9</f>
        <v>Dunbar Court,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143860</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58590</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1" t="s">
        <v>3080</v>
      </c>
      <c r="B1" s="4491"/>
      <c r="C1" s="4491"/>
      <c r="D1" s="4491"/>
      <c r="E1" s="4491"/>
      <c r="F1" s="4491"/>
      <c r="G1" s="4491"/>
      <c r="H1" s="4491"/>
      <c r="I1" s="4491"/>
      <c r="J1" s="4491"/>
    </row>
    <row r="2" spans="1:13" ht="15">
      <c r="A2" s="4491" t="str">
        <f>'Sensitivity Analysis'!E8&amp;"  "&amp;'Sensitivity Analysis'!C8</f>
        <v>2021-014  Dunbar Court</v>
      </c>
      <c r="B2" s="4491"/>
      <c r="C2" s="4491"/>
      <c r="D2" s="4491"/>
      <c r="E2" s="4491"/>
      <c r="F2" s="4491"/>
      <c r="G2" s="4491"/>
      <c r="H2" s="4491"/>
      <c r="I2" s="4491"/>
      <c r="J2" s="4491"/>
    </row>
    <row r="3" spans="1:13" ht="6" customHeight="1">
      <c r="K3" s="4478" t="s">
        <v>3612</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Dunbar Court,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79"/>
      <c r="E13" s="4479"/>
      <c r="F13" s="4479"/>
      <c r="G13" s="4479"/>
      <c r="H13" s="4479"/>
      <c r="I13" s="4479"/>
      <c r="J13" s="4479"/>
    </row>
    <row r="14" spans="1:13" ht="3" customHeight="1">
      <c r="G14" s="636"/>
      <c r="H14" s="705"/>
      <c r="I14" s="705"/>
    </row>
    <row r="15" spans="1:13" ht="12" customHeight="1">
      <c r="A15" s="699" t="s">
        <v>2904</v>
      </c>
      <c r="C15" s="707" t="str">
        <f>'Preview term'!E10</f>
        <v>Fred Bennett</v>
      </c>
      <c r="G15" s="636"/>
      <c r="I15" s="705"/>
    </row>
    <row r="16" spans="1:13" ht="12" customHeight="1">
      <c r="A16" s="717" t="s">
        <v>3816</v>
      </c>
      <c r="C16" s="707" t="str">
        <f>'Part II-Development Team'!Q7</f>
        <v>Managing Partner</v>
      </c>
      <c r="G16" s="636"/>
      <c r="I16" s="705"/>
    </row>
    <row r="17" spans="1:9" ht="3" customHeight="1">
      <c r="G17" s="636"/>
      <c r="H17" s="705"/>
      <c r="I17" s="705"/>
    </row>
    <row r="18" spans="1:9" ht="12" customHeight="1">
      <c r="A18" s="699" t="s">
        <v>2905</v>
      </c>
      <c r="C18" s="707" t="str">
        <f>'Preview term'!$E$7</f>
        <v>730 N. Dean Road, Suite 100</v>
      </c>
      <c r="G18" s="636"/>
      <c r="I18" s="705"/>
    </row>
    <row r="19" spans="1:9" ht="12" customHeight="1">
      <c r="C19" s="707" t="str">
        <f>'Preview term'!$E$8</f>
        <v>Auburn, AL 36830</v>
      </c>
      <c r="G19" s="636"/>
      <c r="I19" s="705"/>
    </row>
    <row r="20" spans="1:9" ht="3" customHeight="1">
      <c r="G20" s="636"/>
      <c r="H20" s="705"/>
      <c r="I20" s="705"/>
    </row>
    <row r="21" spans="1:9" ht="12" customHeight="1">
      <c r="A21" s="699" t="s">
        <v>2906</v>
      </c>
      <c r="C21" s="707" t="str">
        <f>CONCATENATE('Preview term'!E49," of  ",'Preview term'!G49)</f>
        <v>Atkins Roberts of  Bradley</v>
      </c>
      <c r="G21" s="636"/>
      <c r="I21" s="705"/>
    </row>
    <row r="22" spans="1:9" ht="3" customHeight="1">
      <c r="C22" s="707"/>
      <c r="G22" s="636"/>
      <c r="I22" s="705"/>
    </row>
    <row r="23" spans="1:9" ht="12" customHeight="1">
      <c r="A23" s="699" t="s">
        <v>2907</v>
      </c>
      <c r="C23" s="707">
        <f>'Preview term'!E12</f>
        <v>3343210529</v>
      </c>
      <c r="G23" s="636"/>
      <c r="I23" s="705"/>
    </row>
    <row r="24" spans="1:9" ht="3" customHeight="1">
      <c r="C24" s="707"/>
      <c r="G24" s="636"/>
      <c r="I24" s="705"/>
    </row>
    <row r="25" spans="1:9" ht="12" customHeight="1">
      <c r="A25" s="699" t="s">
        <v>2908</v>
      </c>
      <c r="C25" s="1057" t="str">
        <f>'Preview term'!E11</f>
        <v>fred@thebennettgrp.net</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Dunbar Court</v>
      </c>
      <c r="I28" s="705"/>
    </row>
    <row r="29" spans="1:9" ht="3" customHeight="1">
      <c r="C29" s="707"/>
      <c r="I29" s="705"/>
    </row>
    <row r="30" spans="1:9" ht="12" customHeight="1">
      <c r="A30" s="699" t="s">
        <v>2911</v>
      </c>
      <c r="C30" s="707" t="str">
        <f>'Preview term'!E16</f>
        <v>New Dunbar Road</v>
      </c>
      <c r="I30" s="705"/>
    </row>
    <row r="31" spans="1:9">
      <c r="C31" s="705" t="str">
        <f>'Preview term'!E17</f>
        <v>Byron, GA 31008</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6415</v>
      </c>
      <c r="C39" s="4492" t="str">
        <f>_xlfn.CONCAT('Part VIII-Threshold Criteria'!K224," and ",'Part VIII-Threshold Criteria'!K225)</f>
        <v>Building and Covered Porch</v>
      </c>
      <c r="D39" s="4492"/>
      <c r="E39" s="4492"/>
      <c r="F39" s="4492"/>
      <c r="G39" s="4492"/>
      <c r="H39" s="4492"/>
      <c r="I39" s="4492"/>
      <c r="J39" s="4492"/>
    </row>
    <row r="40" spans="1:10" ht="25.5" customHeight="1">
      <c r="A40" s="712" t="s">
        <v>6416</v>
      </c>
      <c r="C40" s="449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Equipped playground, Covered pavilion with picnic/BBQ facilities ,   , ,   , and  </v>
      </c>
      <c r="D40" s="4492"/>
      <c r="E40" s="4492"/>
      <c r="F40" s="4492"/>
      <c r="G40" s="4492"/>
      <c r="H40" s="4492"/>
      <c r="I40" s="4492"/>
      <c r="J40" s="4492"/>
    </row>
    <row r="41" spans="1:10" ht="3" customHeight="1">
      <c r="G41" s="636"/>
      <c r="H41" s="636"/>
      <c r="I41" s="636"/>
    </row>
    <row r="42" spans="1:10" ht="25.5" customHeight="1">
      <c r="A42" s="712" t="s">
        <v>2918</v>
      </c>
      <c r="C42" s="4493" t="s">
        <v>3230</v>
      </c>
      <c r="D42" s="4493"/>
      <c r="E42" s="4493"/>
      <c r="F42" s="4493"/>
      <c r="G42" s="4493"/>
      <c r="H42" s="4493"/>
      <c r="I42" s="4493"/>
      <c r="J42" s="4493"/>
    </row>
    <row r="43" spans="1:10" ht="3" customHeight="1">
      <c r="C43" s="510"/>
      <c r="D43" s="510"/>
      <c r="E43" s="510"/>
      <c r="F43" s="510"/>
      <c r="G43" s="510"/>
      <c r="H43" s="511"/>
      <c r="I43" s="512"/>
      <c r="J43" s="511"/>
    </row>
    <row r="44" spans="1:10" ht="12" customHeight="1">
      <c r="A44" s="699" t="s">
        <v>2919</v>
      </c>
      <c r="C44" s="574" t="str">
        <f>'Part I-Project Information'!J40</f>
        <v>Peach</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3" t="s">
        <v>546</v>
      </c>
      <c r="D50" s="4493"/>
      <c r="E50" s="4493"/>
      <c r="F50" s="4493"/>
      <c r="G50" s="4493"/>
      <c r="H50" s="4493"/>
      <c r="I50" s="4493"/>
      <c r="J50" s="4493"/>
    </row>
    <row r="51" spans="1:10" ht="12" customHeight="1">
      <c r="C51" s="4482" t="s">
        <v>1724</v>
      </c>
      <c r="D51" s="4482"/>
      <c r="E51" s="4482"/>
      <c r="F51" s="4482"/>
      <c r="G51" s="4482"/>
      <c r="H51" s="4482"/>
      <c r="I51" s="4482"/>
      <c r="J51" s="4482"/>
    </row>
    <row r="52" spans="1:10" ht="3" customHeight="1">
      <c r="D52" s="714"/>
      <c r="E52" s="714"/>
      <c r="F52" s="714"/>
      <c r="G52" s="715"/>
      <c r="H52" s="636"/>
      <c r="I52" s="714"/>
      <c r="J52" s="714"/>
    </row>
    <row r="53" spans="1:10" ht="12" customHeight="1">
      <c r="A53" s="712" t="s">
        <v>2923</v>
      </c>
      <c r="B53" s="712"/>
      <c r="C53" s="716" t="s">
        <v>2924</v>
      </c>
      <c r="D53" s="716" t="s">
        <v>3231</v>
      </c>
      <c r="E53" s="4483"/>
      <c r="F53" s="4483"/>
      <c r="G53" s="4483"/>
      <c r="H53" s="4483"/>
      <c r="I53" s="4483"/>
      <c r="J53" s="4483"/>
    </row>
    <row r="54" spans="1:10" ht="12" customHeight="1">
      <c r="A54" s="712"/>
      <c r="B54" s="712"/>
      <c r="C54" s="712"/>
      <c r="D54" s="716" t="s">
        <v>3232</v>
      </c>
      <c r="E54" s="4484"/>
      <c r="F54" s="4484"/>
      <c r="G54" s="4484"/>
      <c r="H54" s="4484"/>
      <c r="I54" s="4484"/>
      <c r="J54" s="4484"/>
    </row>
    <row r="55" spans="1:10" ht="12" customHeight="1">
      <c r="A55" s="704" t="s">
        <v>2925</v>
      </c>
      <c r="G55" s="636"/>
      <c r="H55" s="636"/>
      <c r="I55" s="636"/>
    </row>
    <row r="56" spans="1:10" ht="18" customHeight="1">
      <c r="A56" s="699" t="s">
        <v>2926</v>
      </c>
      <c r="C56" s="706" t="str">
        <f>'Sensitivity Analysis'!C10</f>
        <v>Dunbar Court GP, Inc.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7662012</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79"/>
      <c r="E69" s="4479"/>
      <c r="F69" s="4479"/>
      <c r="G69" s="4479"/>
      <c r="H69" s="4479"/>
      <c r="I69" s="4479"/>
      <c r="J69" s="4479"/>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120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6417</v>
      </c>
      <c r="G84" s="636"/>
    </row>
    <row r="85" spans="1:9" ht="3" customHeight="1">
      <c r="G85" s="636"/>
      <c r="H85" s="636"/>
      <c r="I85" s="636"/>
    </row>
    <row r="86" spans="1:9" ht="12" customHeight="1">
      <c r="A86" s="699" t="s">
        <v>2945</v>
      </c>
      <c r="C86" s="1636">
        <f>'Subsidy Layering Memo'!L70</f>
        <v>-594425.57186896889</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United Bank</v>
      </c>
      <c r="I93" s="636"/>
    </row>
    <row r="94" spans="1:9" ht="12" customHeight="1">
      <c r="C94" s="731"/>
      <c r="D94" s="636"/>
      <c r="E94" s="717" t="s">
        <v>1716</v>
      </c>
      <c r="F94" s="4485"/>
      <c r="G94" s="4485"/>
      <c r="H94" s="4485"/>
      <c r="I94" s="636"/>
    </row>
    <row r="95" spans="1:9" ht="12" customHeight="1">
      <c r="C95" s="717"/>
      <c r="D95" s="636"/>
      <c r="E95" s="717" t="s">
        <v>1892</v>
      </c>
      <c r="F95" s="4486"/>
      <c r="G95" s="4486"/>
      <c r="H95" s="4486"/>
      <c r="I95" s="636"/>
    </row>
    <row r="96" spans="1:9" ht="12" customHeight="1">
      <c r="C96" s="717"/>
      <c r="D96" s="636"/>
      <c r="E96" s="717" t="s">
        <v>1718</v>
      </c>
      <c r="F96" s="4481"/>
      <c r="G96" s="4481"/>
      <c r="H96" s="4481"/>
      <c r="I96" s="636"/>
    </row>
    <row r="97" spans="1:10" ht="12" customHeight="1">
      <c r="B97" s="708"/>
      <c r="C97" s="720" t="s">
        <v>3092</v>
      </c>
      <c r="D97" s="636" t="s">
        <v>2951</v>
      </c>
      <c r="E97" s="717" t="str">
        <f>'Part III-Sources of Funds'!E40</f>
        <v>United Bank (Capital Magnet Funds)</v>
      </c>
      <c r="I97" s="636"/>
    </row>
    <row r="98" spans="1:10" ht="12" customHeight="1">
      <c r="C98" s="717"/>
      <c r="D98" s="636"/>
      <c r="E98" s="717" t="s">
        <v>1716</v>
      </c>
      <c r="F98" s="4485"/>
      <c r="G98" s="4485"/>
      <c r="H98" s="4485"/>
      <c r="I98" s="636"/>
    </row>
    <row r="99" spans="1:10" ht="12" customHeight="1">
      <c r="C99" s="717"/>
      <c r="D99" s="636"/>
      <c r="E99" s="717" t="s">
        <v>1892</v>
      </c>
      <c r="F99" s="4486"/>
      <c r="G99" s="4486"/>
      <c r="H99" s="4486"/>
      <c r="I99" s="636"/>
    </row>
    <row r="100" spans="1:10" ht="12" customHeight="1">
      <c r="C100" s="717"/>
      <c r="D100" s="636"/>
      <c r="E100" s="717" t="s">
        <v>1718</v>
      </c>
      <c r="F100" s="4481"/>
      <c r="G100" s="4481"/>
      <c r="H100" s="4481"/>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7"/>
      <c r="E107" s="4487"/>
      <c r="F107" s="4487"/>
      <c r="G107" s="4487"/>
      <c r="H107" s="4487"/>
      <c r="I107" s="4487"/>
      <c r="J107" s="4488"/>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0" t="s">
        <v>6420</v>
      </c>
      <c r="F120" s="4490"/>
      <c r="G120" s="4490"/>
      <c r="H120" s="4490"/>
      <c r="I120" s="4490"/>
      <c r="J120" s="4490"/>
    </row>
    <row r="121" spans="1:10" ht="12" customHeight="1">
      <c r="C121" s="636" t="s">
        <v>2962</v>
      </c>
      <c r="D121" s="1065"/>
      <c r="E121" s="4490"/>
      <c r="F121" s="4490"/>
      <c r="G121" s="4490"/>
      <c r="H121" s="4490"/>
      <c r="I121" s="4490"/>
      <c r="J121" s="4490"/>
    </row>
    <row r="122" spans="1:10" ht="12" customHeight="1">
      <c r="C122" s="636" t="s">
        <v>2963</v>
      </c>
      <c r="D122" s="1065"/>
      <c r="E122" s="4490"/>
      <c r="F122" s="4490"/>
      <c r="G122" s="4490"/>
      <c r="H122" s="4490"/>
      <c r="I122" s="4490"/>
      <c r="J122" s="4490"/>
    </row>
    <row r="123" spans="1:10" ht="12" customHeight="1">
      <c r="C123" s="636" t="s">
        <v>2963</v>
      </c>
      <c r="D123" s="1065"/>
      <c r="E123" s="4490"/>
      <c r="F123" s="4490"/>
      <c r="G123" s="4490"/>
      <c r="H123" s="4490"/>
      <c r="I123" s="4490"/>
      <c r="J123" s="449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Bennett &amp; Company,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591312.5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Co., Inc</v>
      </c>
      <c r="G139" s="636"/>
      <c r="I139" s="636"/>
      <c r="J139" s="734"/>
    </row>
    <row r="140" spans="1:10" ht="3" customHeight="1">
      <c r="C140" s="706"/>
      <c r="G140" s="636"/>
      <c r="I140" s="636"/>
    </row>
    <row r="141" spans="1:10" ht="12" customHeight="1">
      <c r="A141" s="699" t="s">
        <v>2974</v>
      </c>
      <c r="C141" s="707" t="str">
        <f>C8</f>
        <v>Dunbar Court, LP</v>
      </c>
      <c r="G141" s="636"/>
      <c r="I141" s="705"/>
      <c r="J141" s="735"/>
    </row>
    <row r="142" spans="1:10" ht="3" customHeight="1">
      <c r="C142" s="707"/>
      <c r="G142" s="636"/>
      <c r="I142" s="705"/>
      <c r="J142" s="735"/>
    </row>
    <row r="143" spans="1:10" ht="12" customHeight="1">
      <c r="A143" s="699" t="s">
        <v>2975</v>
      </c>
      <c r="C143" s="707" t="str">
        <f>C18</f>
        <v>730 N. Dean Road, Suite 100</v>
      </c>
      <c r="G143" s="636"/>
      <c r="I143" s="705"/>
      <c r="J143" s="735"/>
    </row>
    <row r="144" spans="1:10">
      <c r="C144" s="707" t="str">
        <f>C19</f>
        <v>Auburn, AL 36830</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79"/>
      <c r="F166" s="4479"/>
      <c r="G166" s="4479"/>
      <c r="I166" s="636"/>
    </row>
    <row r="167" spans="1:13" ht="3" customHeight="1">
      <c r="E167" s="636"/>
      <c r="G167" s="636"/>
      <c r="I167" s="636"/>
    </row>
    <row r="168" spans="1:13" ht="12" customHeight="1">
      <c r="A168" s="699" t="s">
        <v>2986</v>
      </c>
      <c r="C168" s="699" t="s">
        <v>2987</v>
      </c>
      <c r="E168" s="738">
        <f>'Preview term'!F73</f>
        <v>143860</v>
      </c>
      <c r="G168" s="636"/>
      <c r="I168" s="636"/>
    </row>
    <row r="169" spans="1:13" ht="12" customHeight="1">
      <c r="C169" s="699" t="s">
        <v>3237</v>
      </c>
      <c r="E169" s="4479"/>
      <c r="F169" s="4479"/>
      <c r="G169" s="4479"/>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12000</v>
      </c>
      <c r="F174" s="705" t="s">
        <v>2991</v>
      </c>
      <c r="J174" s="735"/>
      <c r="K174" s="735"/>
      <c r="L174" s="735"/>
      <c r="M174" s="735"/>
    </row>
    <row r="175" spans="1:13">
      <c r="E175" s="738">
        <f>E174/12</f>
        <v>1000</v>
      </c>
      <c r="F175" s="636" t="s">
        <v>2856</v>
      </c>
    </row>
    <row r="176" spans="1:13" ht="12" customHeight="1">
      <c r="C176" s="699" t="s">
        <v>3238</v>
      </c>
      <c r="E176" s="4479"/>
      <c r="F176" s="4479"/>
      <c r="G176" s="4479"/>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9"/>
      <c r="G181" s="4479"/>
      <c r="H181" s="4479"/>
      <c r="I181" s="4479"/>
      <c r="J181" s="4479"/>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58590</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89">
        <f>'Part VIII-Threshold Criteria'!E397</f>
        <v>0</v>
      </c>
      <c r="G199" s="4489"/>
      <c r="H199" s="4489"/>
      <c r="I199" s="4489"/>
      <c r="J199" s="4489"/>
    </row>
    <row r="200" spans="1:10" ht="9" customHeight="1">
      <c r="G200" s="636"/>
      <c r="H200" s="636"/>
      <c r="I200" s="636"/>
    </row>
    <row r="201" spans="1:10" ht="12" customHeight="1">
      <c r="A201" s="740" t="s">
        <v>3081</v>
      </c>
      <c r="G201" s="636"/>
      <c r="H201" s="636"/>
      <c r="I201" s="724"/>
    </row>
    <row r="202" spans="1:10" ht="25.5" hidden="1" customHeight="1">
      <c r="A202" s="4480" t="str">
        <f>'Subsidy Layering Memo'!A105</f>
        <v>Include any reserve requirements; explain any reserves far in excess of 6 month ODR, 3 mo lease up, 1 year RR, 6 mo T&amp;I standards.</v>
      </c>
      <c r="B202" s="4480"/>
      <c r="C202" s="4480"/>
      <c r="D202" s="4480"/>
      <c r="E202" s="4480"/>
      <c r="F202" s="4480"/>
      <c r="G202" s="4480"/>
      <c r="H202" s="4480"/>
      <c r="I202" s="4480"/>
      <c r="J202" s="4480"/>
    </row>
    <row r="203" spans="1:10">
      <c r="A203" s="636"/>
      <c r="G203" s="636"/>
      <c r="H203" s="636"/>
      <c r="I203" s="636"/>
    </row>
    <row r="204" spans="1:10" s="588" customFormat="1" ht="15">
      <c r="A204" s="594" t="s">
        <v>6404</v>
      </c>
    </row>
    <row r="205" spans="1:10" s="588" customFormat="1" ht="14.25" customHeight="1">
      <c r="A205" s="4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0"/>
      <c r="C205" s="4460"/>
      <c r="D205" s="4460"/>
      <c r="E205" s="4460"/>
      <c r="F205" s="4460"/>
      <c r="G205" s="4460"/>
      <c r="H205" s="4460"/>
      <c r="I205" s="4460"/>
      <c r="J205" s="4460"/>
    </row>
    <row r="206" spans="1:10" s="588" customFormat="1" ht="14.25" customHeight="1">
      <c r="A206" s="4460"/>
      <c r="B206" s="4460"/>
      <c r="C206" s="4460"/>
      <c r="D206" s="4460"/>
      <c r="E206" s="4460"/>
      <c r="F206" s="4460"/>
      <c r="G206" s="4460"/>
      <c r="H206" s="4460"/>
      <c r="I206" s="4460"/>
      <c r="J206" s="4460"/>
    </row>
    <row r="207" spans="1:10" s="588" customFormat="1" ht="6.75" customHeight="1">
      <c r="A207" s="4460"/>
      <c r="B207" s="4460"/>
      <c r="C207" s="4460"/>
      <c r="D207" s="4460"/>
      <c r="E207" s="4460"/>
      <c r="F207" s="4460"/>
      <c r="G207" s="4460"/>
      <c r="H207" s="4460"/>
      <c r="I207" s="4460"/>
      <c r="J207" s="4460"/>
    </row>
    <row r="208" spans="1:10" s="588" customFormat="1" ht="21.75" customHeight="1">
      <c r="A208" s="4460"/>
      <c r="B208" s="4460"/>
      <c r="C208" s="4460"/>
      <c r="D208" s="4460"/>
      <c r="E208" s="4460"/>
      <c r="F208" s="4460"/>
      <c r="G208" s="4460"/>
      <c r="H208" s="4460"/>
      <c r="I208" s="4460"/>
      <c r="J208" s="4460"/>
    </row>
    <row r="209" spans="1:10" s="588" customFormat="1" ht="20.25" customHeight="1">
      <c r="A209" s="4460"/>
      <c r="B209" s="4460"/>
      <c r="C209" s="4460"/>
      <c r="D209" s="4460"/>
      <c r="E209" s="4460"/>
      <c r="F209" s="4460"/>
      <c r="G209" s="4460"/>
      <c r="H209" s="4460"/>
      <c r="I209" s="4460"/>
      <c r="J209" s="4460"/>
    </row>
    <row r="210" spans="1:10" s="588" customFormat="1" ht="54.75" customHeight="1">
      <c r="A210" s="4460"/>
      <c r="B210" s="4460"/>
      <c r="C210" s="4460"/>
      <c r="D210" s="4460"/>
      <c r="E210" s="4460"/>
      <c r="F210" s="4460"/>
      <c r="G210" s="4460"/>
      <c r="H210" s="4460"/>
      <c r="I210" s="4460"/>
      <c r="J210" s="4460"/>
    </row>
    <row r="211" spans="1:10" s="588" customFormat="1" ht="0.75" hidden="1" customHeight="1">
      <c r="A211" s="4460"/>
      <c r="B211" s="4460"/>
      <c r="C211" s="4460"/>
      <c r="D211" s="4460"/>
      <c r="E211" s="4460"/>
      <c r="F211" s="4460"/>
      <c r="G211" s="4460"/>
      <c r="H211" s="4460"/>
      <c r="I211" s="4460"/>
      <c r="J211" s="4460"/>
    </row>
    <row r="212" spans="1:10" s="588" customFormat="1" ht="3.75" hidden="1" customHeight="1">
      <c r="A212" s="4460"/>
      <c r="B212" s="4460"/>
      <c r="C212" s="4460"/>
      <c r="D212" s="4460"/>
      <c r="E212" s="4460"/>
      <c r="F212" s="4460"/>
      <c r="G212" s="4460"/>
      <c r="H212" s="4460"/>
      <c r="I212" s="4460"/>
      <c r="J212" s="4460"/>
    </row>
    <row r="213" spans="1:10" s="588" customFormat="1" ht="5.25" customHeight="1">
      <c r="A213" s="1630"/>
      <c r="B213" s="1630"/>
      <c r="C213" s="1630"/>
      <c r="D213" s="1630"/>
      <c r="E213" s="1630"/>
      <c r="F213" s="1630"/>
      <c r="G213" s="1630"/>
      <c r="H213" s="1630"/>
      <c r="I213" s="1630"/>
      <c r="J213" s="1630"/>
    </row>
    <row r="214" spans="1:10" s="588" customFormat="1" ht="19.5" customHeight="1">
      <c r="A214" s="4459" t="s">
        <v>6407</v>
      </c>
      <c r="B214" s="4459"/>
      <c r="C214" s="4459"/>
      <c r="D214" s="1629"/>
      <c r="E214" s="1629"/>
      <c r="F214" s="1629"/>
      <c r="G214" s="1629"/>
      <c r="H214" s="1629"/>
      <c r="I214" s="1629"/>
      <c r="J214" s="1629"/>
    </row>
    <row r="215" spans="1:10" s="588" customFormat="1" ht="22.5" customHeight="1">
      <c r="A215" s="4438" t="str">
        <f>'Subsidy Layering Memo'!A37</f>
        <v>1)</v>
      </c>
      <c r="B215" s="4438"/>
      <c r="C215" s="4438"/>
      <c r="D215" s="4438"/>
      <c r="E215" s="4438"/>
      <c r="F215" s="4438"/>
      <c r="G215" s="4438"/>
      <c r="H215" s="4438"/>
      <c r="I215" s="4438"/>
      <c r="J215" s="4438"/>
    </row>
    <row r="216" spans="1:10" s="588" customFormat="1" ht="22.5" customHeight="1">
      <c r="A216" s="4438" t="str">
        <f>'Subsidy Layering Memo'!A38</f>
        <v>2)</v>
      </c>
      <c r="B216" s="4438"/>
      <c r="C216" s="4438"/>
      <c r="D216" s="4438"/>
      <c r="E216" s="4438"/>
      <c r="F216" s="4438"/>
      <c r="G216" s="4438"/>
      <c r="H216" s="4438"/>
      <c r="I216" s="4438"/>
      <c r="J216" s="4438"/>
    </row>
    <row r="217" spans="1:10" s="588" customFormat="1" ht="22.5" customHeight="1">
      <c r="A217" s="4438" t="str">
        <f>'Subsidy Layering Memo'!A39</f>
        <v>3)</v>
      </c>
      <c r="B217" s="4438"/>
      <c r="C217" s="4438"/>
      <c r="D217" s="4438"/>
      <c r="E217" s="4438"/>
      <c r="F217" s="4438"/>
      <c r="G217" s="4438"/>
      <c r="H217" s="4438"/>
      <c r="I217" s="4438"/>
      <c r="J217" s="4438"/>
    </row>
    <row r="218" spans="1:10" s="588" customFormat="1" ht="22.5" customHeight="1">
      <c r="A218" s="4438" t="str">
        <f>'Subsidy Layering Memo'!A40</f>
        <v>4)</v>
      </c>
      <c r="B218" s="4438"/>
      <c r="C218" s="4438"/>
      <c r="D218" s="4438"/>
      <c r="E218" s="4438"/>
      <c r="F218" s="4438"/>
      <c r="G218" s="4438"/>
      <c r="H218" s="4438"/>
      <c r="I218" s="4438"/>
      <c r="J218" s="4438"/>
    </row>
    <row r="219" spans="1:10" s="588" customFormat="1" ht="22.5" customHeight="1">
      <c r="A219" s="4438" t="str">
        <f>'Subsidy Layering Memo'!A41</f>
        <v>5)</v>
      </c>
      <c r="B219" s="4438"/>
      <c r="C219" s="4438"/>
      <c r="D219" s="4438"/>
      <c r="E219" s="4438"/>
      <c r="F219" s="4438"/>
      <c r="G219" s="4438"/>
      <c r="H219" s="4438"/>
      <c r="I219" s="4438"/>
      <c r="J219" s="4438"/>
    </row>
    <row r="220" spans="1:10" s="588" customFormat="1" ht="22.5" customHeight="1">
      <c r="A220" s="4438" t="str">
        <f>'Subsidy Layering Memo'!A42</f>
        <v>6)</v>
      </c>
      <c r="B220" s="4438"/>
      <c r="C220" s="4438"/>
      <c r="D220" s="4438"/>
      <c r="E220" s="4438"/>
      <c r="F220" s="4438"/>
      <c r="G220" s="4438"/>
      <c r="H220" s="4438"/>
      <c r="I220" s="4438"/>
      <c r="J220" s="4438"/>
    </row>
    <row r="221" spans="1:10" s="588" customFormat="1" ht="22.5" customHeight="1">
      <c r="A221" s="4438" t="str">
        <f>'Subsidy Layering Memo'!A43</f>
        <v>7)</v>
      </c>
      <c r="B221" s="4438"/>
      <c r="C221" s="4438"/>
      <c r="D221" s="4438"/>
      <c r="E221" s="4438"/>
      <c r="F221" s="4438"/>
      <c r="G221" s="4438"/>
      <c r="H221" s="4438"/>
      <c r="I221" s="4438"/>
      <c r="J221" s="4438"/>
    </row>
    <row r="222" spans="1:10" s="588" customFormat="1" ht="22.5" customHeight="1">
      <c r="A222" s="4438" t="str">
        <f>'Subsidy Layering Memo'!A44</f>
        <v>8)</v>
      </c>
      <c r="B222" s="4438"/>
      <c r="C222" s="4438"/>
      <c r="D222" s="4438"/>
      <c r="E222" s="4438"/>
      <c r="F222" s="4438"/>
      <c r="G222" s="4438"/>
      <c r="H222" s="4438"/>
      <c r="I222" s="4438"/>
      <c r="J222" s="443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4168</v>
      </c>
      <c r="B1" s="3023"/>
      <c r="C1" s="3023"/>
      <c r="D1" s="3023"/>
      <c r="E1" s="3023"/>
      <c r="F1" s="3023"/>
      <c r="G1" s="3023"/>
      <c r="H1" s="3023"/>
    </row>
    <row r="2" spans="1:11" ht="19.5" thickBot="1">
      <c r="A2" s="3023" t="s">
        <v>4169</v>
      </c>
      <c r="B2" s="3023"/>
      <c r="C2" s="3023"/>
      <c r="D2" s="3023"/>
      <c r="E2" s="3023"/>
      <c r="F2" s="3023"/>
      <c r="G2" s="3023"/>
      <c r="H2" s="3023"/>
    </row>
    <row r="3" spans="1:11" ht="15" customHeight="1" thickBot="1">
      <c r="A3" s="3025" t="s">
        <v>4170</v>
      </c>
      <c r="B3" s="3026"/>
      <c r="C3" s="3027"/>
      <c r="D3" s="4510" t="str">
        <f>'Part I-Project Information'!F35</f>
        <v>Dunbar Court</v>
      </c>
      <c r="E3" s="4511"/>
      <c r="F3" s="4511"/>
      <c r="G3" s="4511"/>
      <c r="H3" s="4511"/>
      <c r="I3" s="4511"/>
      <c r="J3" s="4512" t="s">
        <v>6421</v>
      </c>
      <c r="K3" s="4513"/>
    </row>
    <row r="4" spans="1:11" ht="15" customHeight="1">
      <c r="A4" s="3028" t="s">
        <v>4171</v>
      </c>
      <c r="B4" s="3029"/>
      <c r="C4" s="3030"/>
      <c r="D4" s="4514" t="str">
        <f>CONCATENATE('Part I-Project Information'!F36,", ",'Part I-Project Information'!F39,", GA ",'Part I-Project Information'!J39," (",'Part I-Project Information'!J40," Co.)",)</f>
        <v>New Dunbar Road, Byron, GA 310086337 (Peach Co.)</v>
      </c>
      <c r="E4" s="4515"/>
      <c r="F4" s="4515"/>
      <c r="G4" s="4515"/>
      <c r="H4" s="4515"/>
      <c r="I4" s="4515"/>
      <c r="J4" s="4516" t="s">
        <v>4212</v>
      </c>
      <c r="K4" s="4517"/>
    </row>
    <row r="5" spans="1:11" ht="15" customHeight="1" thickBot="1">
      <c r="A5" s="3031" t="s">
        <v>4172</v>
      </c>
      <c r="B5" s="3032"/>
      <c r="C5" s="3033"/>
      <c r="D5" s="4520"/>
      <c r="E5" s="4521"/>
      <c r="F5" s="4521"/>
      <c r="G5" s="4521"/>
      <c r="H5" s="4521"/>
      <c r="I5" s="4521"/>
      <c r="J5" s="4518"/>
      <c r="K5" s="4519"/>
    </row>
    <row r="6" spans="1:11" ht="9" customHeight="1" thickBot="1">
      <c r="E6" s="3024"/>
    </row>
    <row r="7" spans="1:11">
      <c r="A7" s="4502" t="s">
        <v>4174</v>
      </c>
      <c r="B7" s="4503"/>
      <c r="C7" s="4503"/>
      <c r="D7" s="4503"/>
      <c r="E7" s="4503"/>
      <c r="F7" s="4503"/>
      <c r="G7" s="4503"/>
      <c r="H7" s="4503"/>
      <c r="I7" s="4503"/>
      <c r="J7" s="4503"/>
      <c r="K7" s="4504"/>
    </row>
    <row r="8" spans="1:11" ht="14.25" customHeight="1">
      <c r="A8" s="3034"/>
      <c r="B8" s="3034"/>
      <c r="C8" s="3035">
        <v>1</v>
      </c>
      <c r="D8" s="3036" t="s">
        <v>4175</v>
      </c>
      <c r="E8" s="3036"/>
      <c r="F8" s="3036"/>
      <c r="G8" s="3036"/>
      <c r="H8" s="3036"/>
      <c r="I8" s="3036"/>
      <c r="J8" s="4500"/>
      <c r="K8" s="4501"/>
    </row>
    <row r="9" spans="1:11" ht="7.15" customHeight="1">
      <c r="A9" s="4505"/>
      <c r="B9" s="4505"/>
      <c r="C9" s="4505"/>
      <c r="D9" s="4506"/>
      <c r="E9" s="4506"/>
      <c r="F9" s="4506"/>
      <c r="G9" s="4506"/>
      <c r="H9" s="4506"/>
      <c r="I9" s="4506"/>
      <c r="J9" s="4506"/>
      <c r="K9" s="3037"/>
    </row>
    <row r="10" spans="1:11">
      <c r="A10" s="4507" t="s">
        <v>4176</v>
      </c>
      <c r="B10" s="4508"/>
      <c r="C10" s="4508"/>
      <c r="D10" s="4508"/>
      <c r="E10" s="4508"/>
      <c r="F10" s="4508"/>
      <c r="G10" s="4508"/>
      <c r="H10" s="4508"/>
      <c r="I10" s="4508"/>
      <c r="J10" s="4508"/>
      <c r="K10" s="4509"/>
    </row>
    <row r="11" spans="1:11" ht="14.25" customHeight="1">
      <c r="A11" s="3034"/>
      <c r="B11" s="3034"/>
      <c r="C11" s="3035">
        <v>2</v>
      </c>
      <c r="D11" s="3036" t="s">
        <v>4177</v>
      </c>
      <c r="E11" s="3038"/>
      <c r="F11" s="3038"/>
      <c r="G11" s="3038"/>
      <c r="H11" s="3038"/>
      <c r="I11" s="3038"/>
      <c r="J11" s="4498"/>
      <c r="K11" s="4499"/>
    </row>
    <row r="12" spans="1:11" ht="7.15" customHeight="1">
      <c r="A12" s="4505"/>
      <c r="B12" s="4505"/>
      <c r="C12" s="4505"/>
      <c r="D12" s="4506"/>
      <c r="E12" s="4506"/>
      <c r="F12" s="4506"/>
      <c r="G12" s="4506"/>
      <c r="H12" s="4506"/>
      <c r="I12" s="4506"/>
      <c r="J12" s="4506"/>
      <c r="K12" s="3039"/>
    </row>
    <row r="13" spans="1:11">
      <c r="A13" s="4507" t="s">
        <v>4178</v>
      </c>
      <c r="B13" s="4508"/>
      <c r="C13" s="4508"/>
      <c r="D13" s="4508"/>
      <c r="E13" s="4508"/>
      <c r="F13" s="4508"/>
      <c r="G13" s="4508"/>
      <c r="H13" s="4508"/>
      <c r="I13" s="4508"/>
      <c r="J13" s="4508"/>
      <c r="K13" s="4509"/>
    </row>
    <row r="14" spans="1:11" ht="14.25" customHeight="1">
      <c r="A14" s="3029"/>
      <c r="B14" s="3029"/>
      <c r="C14" s="3040">
        <v>3</v>
      </c>
      <c r="D14" s="3041" t="s">
        <v>4179</v>
      </c>
      <c r="E14" s="3041"/>
      <c r="F14" s="3041"/>
      <c r="G14" s="3041"/>
      <c r="H14" s="3041"/>
      <c r="I14" s="3041"/>
      <c r="J14" s="4496"/>
      <c r="K14" s="4497"/>
    </row>
    <row r="15" spans="1:11" ht="14.25" customHeight="1">
      <c r="A15" s="3029"/>
      <c r="B15" s="3029"/>
      <c r="C15" s="3042">
        <v>4</v>
      </c>
      <c r="D15" s="3029" t="s">
        <v>4180</v>
      </c>
      <c r="E15" s="3029"/>
      <c r="F15" s="3029"/>
      <c r="G15" s="3029"/>
      <c r="H15" s="3029"/>
      <c r="I15" s="3029"/>
      <c r="J15" s="4494"/>
      <c r="K15" s="4495"/>
    </row>
    <row r="16" spans="1:11" ht="14.25" customHeight="1">
      <c r="A16" s="3029"/>
      <c r="B16" s="3029"/>
      <c r="C16" s="3042">
        <v>5</v>
      </c>
      <c r="D16" s="3029" t="s">
        <v>4181</v>
      </c>
      <c r="E16" s="3029"/>
      <c r="F16" s="3029"/>
      <c r="G16" s="3029"/>
      <c r="H16" s="3029"/>
      <c r="I16" s="3029"/>
      <c r="J16" s="4494"/>
      <c r="K16" s="4495"/>
    </row>
    <row r="17" spans="1:13" ht="14.25" customHeight="1">
      <c r="A17" s="3034"/>
      <c r="B17" s="3034"/>
      <c r="C17" s="3043">
        <v>6</v>
      </c>
      <c r="D17" s="3032" t="s">
        <v>4182</v>
      </c>
      <c r="E17" s="3032"/>
      <c r="F17" s="3032"/>
      <c r="G17" s="3032"/>
      <c r="H17" s="3032"/>
      <c r="I17" s="3032"/>
      <c r="J17" s="4575"/>
      <c r="K17" s="4576"/>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4183</v>
      </c>
      <c r="E19" s="3041"/>
      <c r="F19" s="3041"/>
      <c r="G19" s="3041"/>
      <c r="H19" s="3041"/>
      <c r="I19" s="3041"/>
      <c r="J19" s="4573" t="str">
        <f>IF(J17="No",J14-J15,IF(J17="Yes",J14-J15-J16,"Error"))</f>
        <v>Error</v>
      </c>
      <c r="K19" s="4574"/>
    </row>
    <row r="20" spans="1:13" ht="14.25" customHeight="1">
      <c r="A20" s="3034"/>
      <c r="B20" s="3034"/>
      <c r="C20" s="3043">
        <v>8</v>
      </c>
      <c r="D20" s="3032" t="s">
        <v>4184</v>
      </c>
      <c r="E20" s="3032"/>
      <c r="F20" s="3032"/>
      <c r="G20" s="3032"/>
      <c r="H20" s="3032"/>
      <c r="I20" s="3032"/>
      <c r="J20" s="4571" t="e">
        <f>ROUNDDOWN(J19/J8,2)</f>
        <v>#VALUE!</v>
      </c>
      <c r="K20" s="4572"/>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4185</v>
      </c>
      <c r="E22" s="3044"/>
      <c r="F22" s="3044"/>
      <c r="G22" s="3044"/>
      <c r="H22" s="3044"/>
      <c r="I22" s="3044"/>
      <c r="J22" s="4569" t="e">
        <f>J11/J19</f>
        <v>#VALUE!</v>
      </c>
      <c r="K22" s="4570"/>
    </row>
    <row r="23" spans="1:13" ht="9" customHeight="1">
      <c r="A23" s="3045"/>
      <c r="C23" s="3046"/>
      <c r="D23" s="3046"/>
      <c r="E23" s="3046"/>
      <c r="F23" s="3046"/>
      <c r="G23" s="3046"/>
      <c r="H23" s="3046"/>
      <c r="I23" s="3046"/>
      <c r="J23" s="3046"/>
      <c r="K23" s="3047"/>
    </row>
    <row r="24" spans="1:13" ht="18.75">
      <c r="A24" s="3048" t="s">
        <v>4186</v>
      </c>
      <c r="C24" s="3046"/>
      <c r="D24" s="3046"/>
      <c r="E24" s="3046"/>
      <c r="F24" s="3046"/>
      <c r="G24" s="3046"/>
      <c r="H24" s="3046"/>
      <c r="I24" s="3046"/>
      <c r="J24" s="3046"/>
      <c r="K24" s="3047"/>
    </row>
    <row r="25" spans="1:13" ht="14.25" customHeight="1">
      <c r="A25" s="3049" t="s">
        <v>4217</v>
      </c>
      <c r="C25" s="3046"/>
      <c r="D25" s="3046"/>
      <c r="E25" s="3046"/>
      <c r="F25" s="3046"/>
      <c r="G25" s="3046"/>
      <c r="H25" s="3046"/>
      <c r="I25" s="3046"/>
      <c r="J25" s="3046"/>
      <c r="K25" s="3047"/>
    </row>
    <row r="26" spans="1:13" ht="14.25" customHeight="1">
      <c r="A26" s="3049" t="s">
        <v>4218</v>
      </c>
      <c r="C26" s="3046"/>
      <c r="D26" s="3046"/>
      <c r="E26" s="3046"/>
      <c r="F26" s="3046"/>
      <c r="G26" s="3046"/>
      <c r="H26" s="3046"/>
      <c r="I26" s="3046"/>
      <c r="J26" s="3046"/>
      <c r="K26" s="3047"/>
    </row>
    <row r="27" spans="1:13" ht="14.25" customHeight="1">
      <c r="A27" s="3049" t="s">
        <v>4219</v>
      </c>
      <c r="C27" s="3046"/>
      <c r="D27" s="3046"/>
      <c r="E27" s="3046"/>
      <c r="F27" s="3046"/>
      <c r="G27" s="3046"/>
      <c r="H27" s="3046"/>
      <c r="I27" s="3046"/>
      <c r="J27" s="3046"/>
      <c r="K27" s="3047"/>
    </row>
    <row r="28" spans="1:13" ht="14.25" customHeight="1">
      <c r="A28" s="3049" t="s">
        <v>4220</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27" t="s">
        <v>4216</v>
      </c>
      <c r="B30" s="4528"/>
      <c r="C30" s="4528"/>
      <c r="D30" s="4528"/>
      <c r="E30" s="4528"/>
      <c r="F30" s="4528"/>
      <c r="G30" s="4528"/>
      <c r="H30" s="4528"/>
      <c r="I30" s="4528"/>
      <c r="J30" s="4528"/>
      <c r="K30" s="4529"/>
    </row>
    <row r="31" spans="1:13">
      <c r="A31" s="3050"/>
      <c r="B31" s="4530" t="s">
        <v>6421</v>
      </c>
      <c r="C31" s="4530"/>
      <c r="D31" s="4530"/>
      <c r="E31" s="4530"/>
      <c r="F31" s="4530"/>
      <c r="G31" s="4531" t="s">
        <v>4187</v>
      </c>
      <c r="H31" s="4532"/>
      <c r="I31" s="4532"/>
      <c r="J31" s="4532"/>
      <c r="K31" s="4533"/>
    </row>
    <row r="32" spans="1:13" ht="56.25" customHeight="1">
      <c r="A32" s="3051"/>
      <c r="B32" s="3052" t="s">
        <v>4215</v>
      </c>
      <c r="C32" s="3053" t="s">
        <v>4211</v>
      </c>
      <c r="D32" s="3053" t="s">
        <v>4210</v>
      </c>
      <c r="E32" s="4534" t="s">
        <v>6313</v>
      </c>
      <c r="F32" s="4535"/>
      <c r="G32" s="3054" t="s">
        <v>4188</v>
      </c>
      <c r="H32" s="3054" t="s">
        <v>4189</v>
      </c>
      <c r="J32" s="3054" t="s">
        <v>4190</v>
      </c>
      <c r="K32" s="3054" t="s">
        <v>4191</v>
      </c>
      <c r="L32" s="4522" t="s">
        <v>4192</v>
      </c>
      <c r="M32" s="4522"/>
    </row>
    <row r="33" spans="2:14" ht="12.75" customHeight="1">
      <c r="B33" s="3055"/>
      <c r="C33" s="3056"/>
      <c r="D33" s="3057"/>
      <c r="E33" s="4523"/>
      <c r="F33" s="4524"/>
      <c r="G33" s="3058" t="e">
        <f t="shared" ref="G33:G51" si="0">$J$22*B33</f>
        <v>#VALUE!</v>
      </c>
      <c r="H33" s="3059" t="e">
        <f>ROUNDUP(G33,0)</f>
        <v>#VALUE!</v>
      </c>
      <c r="I33" s="3060"/>
      <c r="J33" s="3061" t="e">
        <f t="shared" ref="J33:J51" si="1">$J$20*E33</f>
        <v>#VALUE!</v>
      </c>
      <c r="K33" s="3061" t="e">
        <f t="shared" ref="K33:K51" si="2">ROUNDDOWN(J33*H33,0)</f>
        <v>#VALUE!</v>
      </c>
      <c r="L33" s="4522"/>
      <c r="M33" s="4522"/>
    </row>
    <row r="34" spans="2:14" ht="12.75" customHeight="1">
      <c r="B34" s="3062"/>
      <c r="C34" s="3063"/>
      <c r="D34" s="3064"/>
      <c r="E34" s="4525"/>
      <c r="F34" s="4526"/>
      <c r="G34" s="3065" t="e">
        <f t="shared" si="0"/>
        <v>#VALUE!</v>
      </c>
      <c r="H34" s="3066" t="e">
        <f t="shared" ref="H34:H51" si="3">ROUNDUP(G34,0)</f>
        <v>#VALUE!</v>
      </c>
      <c r="I34" s="3060"/>
      <c r="J34" s="3067" t="e">
        <f t="shared" si="1"/>
        <v>#VALUE!</v>
      </c>
      <c r="K34" s="3067" t="e">
        <f t="shared" si="2"/>
        <v>#VALUE!</v>
      </c>
      <c r="L34" s="4522"/>
      <c r="M34" s="4522"/>
    </row>
    <row r="35" spans="2:14" ht="12.75" customHeight="1">
      <c r="B35" s="3062"/>
      <c r="C35" s="3063"/>
      <c r="D35" s="3064"/>
      <c r="E35" s="4525"/>
      <c r="F35" s="4526"/>
      <c r="G35" s="3065" t="e">
        <f t="shared" si="0"/>
        <v>#VALUE!</v>
      </c>
      <c r="H35" s="3066" t="e">
        <f t="shared" si="3"/>
        <v>#VALUE!</v>
      </c>
      <c r="I35" s="3060"/>
      <c r="J35" s="3067" t="e">
        <f t="shared" si="1"/>
        <v>#VALUE!</v>
      </c>
      <c r="K35" s="3067" t="e">
        <f t="shared" si="2"/>
        <v>#VALUE!</v>
      </c>
      <c r="L35" s="4522"/>
      <c r="M35" s="4522"/>
    </row>
    <row r="36" spans="2:14" ht="12.75" customHeight="1">
      <c r="B36" s="3062"/>
      <c r="C36" s="3063"/>
      <c r="D36" s="3064"/>
      <c r="E36" s="4525"/>
      <c r="F36" s="4526"/>
      <c r="G36" s="3065" t="e">
        <f t="shared" si="0"/>
        <v>#VALUE!</v>
      </c>
      <c r="H36" s="3066" t="e">
        <f t="shared" si="3"/>
        <v>#VALUE!</v>
      </c>
      <c r="I36" s="3060"/>
      <c r="J36" s="3067" t="e">
        <f t="shared" si="1"/>
        <v>#VALUE!</v>
      </c>
      <c r="K36" s="3067" t="e">
        <f t="shared" si="2"/>
        <v>#VALUE!</v>
      </c>
      <c r="L36" s="4522"/>
      <c r="M36" s="4522"/>
      <c r="N36" s="3068"/>
    </row>
    <row r="37" spans="2:14" ht="12.75" customHeight="1">
      <c r="B37" s="3062"/>
      <c r="C37" s="3063"/>
      <c r="D37" s="3064"/>
      <c r="E37" s="4525"/>
      <c r="F37" s="4526"/>
      <c r="G37" s="3065" t="e">
        <f t="shared" si="0"/>
        <v>#VALUE!</v>
      </c>
      <c r="H37" s="3066" t="e">
        <f t="shared" si="3"/>
        <v>#VALUE!</v>
      </c>
      <c r="I37" s="3060"/>
      <c r="J37" s="3067" t="e">
        <f t="shared" si="1"/>
        <v>#VALUE!</v>
      </c>
      <c r="K37" s="3067" t="e">
        <f t="shared" si="2"/>
        <v>#VALUE!</v>
      </c>
      <c r="L37" s="4522"/>
      <c r="M37" s="4522"/>
    </row>
    <row r="38" spans="2:14" ht="12.75" customHeight="1">
      <c r="B38" s="3062"/>
      <c r="C38" s="3063"/>
      <c r="D38" s="3064"/>
      <c r="E38" s="4525"/>
      <c r="F38" s="4526"/>
      <c r="G38" s="3065" t="e">
        <f t="shared" si="0"/>
        <v>#VALUE!</v>
      </c>
      <c r="H38" s="3066" t="e">
        <f t="shared" si="3"/>
        <v>#VALUE!</v>
      </c>
      <c r="I38" s="3060"/>
      <c r="J38" s="3067" t="e">
        <f t="shared" si="1"/>
        <v>#VALUE!</v>
      </c>
      <c r="K38" s="3067" t="e">
        <f t="shared" si="2"/>
        <v>#VALUE!</v>
      </c>
      <c r="L38" s="4522"/>
      <c r="M38" s="4522"/>
    </row>
    <row r="39" spans="2:14" ht="12.75" customHeight="1">
      <c r="B39" s="3062"/>
      <c r="C39" s="3063"/>
      <c r="D39" s="3064"/>
      <c r="E39" s="4525"/>
      <c r="F39" s="4526"/>
      <c r="G39" s="3065" t="e">
        <f t="shared" si="0"/>
        <v>#VALUE!</v>
      </c>
      <c r="H39" s="3066" t="e">
        <f t="shared" si="3"/>
        <v>#VALUE!</v>
      </c>
      <c r="I39" s="3060"/>
      <c r="J39" s="3067" t="e">
        <f t="shared" si="1"/>
        <v>#VALUE!</v>
      </c>
      <c r="K39" s="3067" t="e">
        <f t="shared" si="2"/>
        <v>#VALUE!</v>
      </c>
      <c r="L39" s="4522"/>
      <c r="M39" s="4522"/>
    </row>
    <row r="40" spans="2:14" ht="12.75" customHeight="1">
      <c r="B40" s="3062"/>
      <c r="C40" s="3063"/>
      <c r="D40" s="3064"/>
      <c r="E40" s="4525"/>
      <c r="F40" s="4526"/>
      <c r="G40" s="3065" t="e">
        <f t="shared" si="0"/>
        <v>#VALUE!</v>
      </c>
      <c r="H40" s="3066" t="e">
        <f t="shared" si="3"/>
        <v>#VALUE!</v>
      </c>
      <c r="I40" s="3060"/>
      <c r="J40" s="3067" t="e">
        <f t="shared" si="1"/>
        <v>#VALUE!</v>
      </c>
      <c r="K40" s="3067" t="e">
        <f t="shared" si="2"/>
        <v>#VALUE!</v>
      </c>
      <c r="L40" s="4522"/>
      <c r="M40" s="4522"/>
    </row>
    <row r="41" spans="2:14" ht="12.75" customHeight="1">
      <c r="B41" s="3062"/>
      <c r="C41" s="3063"/>
      <c r="D41" s="3064"/>
      <c r="E41" s="4525"/>
      <c r="F41" s="4526"/>
      <c r="G41" s="3065" t="e">
        <f t="shared" si="0"/>
        <v>#VALUE!</v>
      </c>
      <c r="H41" s="3066" t="e">
        <f t="shared" si="3"/>
        <v>#VALUE!</v>
      </c>
      <c r="I41" s="3060"/>
      <c r="J41" s="3067" t="e">
        <f t="shared" si="1"/>
        <v>#VALUE!</v>
      </c>
      <c r="K41" s="3067" t="e">
        <f t="shared" si="2"/>
        <v>#VALUE!</v>
      </c>
      <c r="L41" s="4522"/>
      <c r="M41" s="4522"/>
    </row>
    <row r="42" spans="2:14" ht="12.75" customHeight="1">
      <c r="B42" s="3062"/>
      <c r="C42" s="3063"/>
      <c r="D42" s="3064"/>
      <c r="E42" s="4525"/>
      <c r="F42" s="4526"/>
      <c r="G42" s="3065" t="e">
        <f t="shared" si="0"/>
        <v>#VALUE!</v>
      </c>
      <c r="H42" s="3066" t="e">
        <f t="shared" si="3"/>
        <v>#VALUE!</v>
      </c>
      <c r="I42" s="3060"/>
      <c r="J42" s="3067" t="e">
        <f t="shared" si="1"/>
        <v>#VALUE!</v>
      </c>
      <c r="K42" s="3067" t="e">
        <f t="shared" si="2"/>
        <v>#VALUE!</v>
      </c>
      <c r="L42" s="4522"/>
      <c r="M42" s="4522"/>
    </row>
    <row r="43" spans="2:14" ht="12.75" customHeight="1">
      <c r="B43" s="3062"/>
      <c r="C43" s="3063"/>
      <c r="D43" s="3064"/>
      <c r="E43" s="4525"/>
      <c r="F43" s="4526"/>
      <c r="G43" s="3065" t="e">
        <f t="shared" si="0"/>
        <v>#VALUE!</v>
      </c>
      <c r="H43" s="3066" t="e">
        <f t="shared" si="3"/>
        <v>#VALUE!</v>
      </c>
      <c r="I43" s="3060"/>
      <c r="J43" s="3067" t="e">
        <f t="shared" si="1"/>
        <v>#VALUE!</v>
      </c>
      <c r="K43" s="3067" t="e">
        <f t="shared" si="2"/>
        <v>#VALUE!</v>
      </c>
      <c r="L43" s="4522"/>
      <c r="M43" s="4522"/>
    </row>
    <row r="44" spans="2:14" ht="12.75" customHeight="1">
      <c r="B44" s="3062"/>
      <c r="C44" s="3063"/>
      <c r="D44" s="3064"/>
      <c r="E44" s="4525"/>
      <c r="F44" s="4526"/>
      <c r="G44" s="3065" t="e">
        <f t="shared" si="0"/>
        <v>#VALUE!</v>
      </c>
      <c r="H44" s="3066" t="e">
        <f t="shared" si="3"/>
        <v>#VALUE!</v>
      </c>
      <c r="I44" s="3060"/>
      <c r="J44" s="3067" t="e">
        <f t="shared" si="1"/>
        <v>#VALUE!</v>
      </c>
      <c r="K44" s="3067" t="e">
        <f t="shared" si="2"/>
        <v>#VALUE!</v>
      </c>
      <c r="L44" s="4522"/>
      <c r="M44" s="4522"/>
    </row>
    <row r="45" spans="2:14" ht="12.75" customHeight="1">
      <c r="B45" s="3062"/>
      <c r="C45" s="3063"/>
      <c r="D45" s="3064"/>
      <c r="E45" s="4525"/>
      <c r="F45" s="4526"/>
      <c r="G45" s="3065" t="e">
        <f t="shared" si="0"/>
        <v>#VALUE!</v>
      </c>
      <c r="H45" s="3066" t="e">
        <f t="shared" si="3"/>
        <v>#VALUE!</v>
      </c>
      <c r="I45" s="3060"/>
      <c r="J45" s="3067" t="e">
        <f t="shared" si="1"/>
        <v>#VALUE!</v>
      </c>
      <c r="K45" s="3067" t="e">
        <f t="shared" si="2"/>
        <v>#VALUE!</v>
      </c>
      <c r="L45" s="4522"/>
      <c r="M45" s="4522"/>
    </row>
    <row r="46" spans="2:14" ht="12.75" customHeight="1">
      <c r="B46" s="3062"/>
      <c r="C46" s="3063"/>
      <c r="D46" s="3064"/>
      <c r="E46" s="4525"/>
      <c r="F46" s="4526"/>
      <c r="G46" s="3065" t="e">
        <f t="shared" si="0"/>
        <v>#VALUE!</v>
      </c>
      <c r="H46" s="3066" t="e">
        <f t="shared" si="3"/>
        <v>#VALUE!</v>
      </c>
      <c r="I46" s="3060"/>
      <c r="J46" s="3067" t="e">
        <f t="shared" si="1"/>
        <v>#VALUE!</v>
      </c>
      <c r="K46" s="3067" t="e">
        <f t="shared" si="2"/>
        <v>#VALUE!</v>
      </c>
      <c r="L46" s="4522"/>
      <c r="M46" s="4522"/>
    </row>
    <row r="47" spans="2:14" ht="12.75" customHeight="1">
      <c r="B47" s="3062"/>
      <c r="C47" s="3063"/>
      <c r="D47" s="3064"/>
      <c r="E47" s="4525"/>
      <c r="F47" s="4526"/>
      <c r="G47" s="3065" t="e">
        <f t="shared" si="0"/>
        <v>#VALUE!</v>
      </c>
      <c r="H47" s="3066" t="e">
        <f t="shared" si="3"/>
        <v>#VALUE!</v>
      </c>
      <c r="I47" s="3060"/>
      <c r="J47" s="3067" t="e">
        <f t="shared" si="1"/>
        <v>#VALUE!</v>
      </c>
      <c r="K47" s="3067" t="e">
        <f t="shared" si="2"/>
        <v>#VALUE!</v>
      </c>
      <c r="L47" s="4522"/>
      <c r="M47" s="4522"/>
    </row>
    <row r="48" spans="2:14" ht="12.75" customHeight="1">
      <c r="B48" s="3062"/>
      <c r="C48" s="3063"/>
      <c r="D48" s="3064"/>
      <c r="E48" s="4525"/>
      <c r="F48" s="4526"/>
      <c r="G48" s="3065" t="e">
        <f t="shared" si="0"/>
        <v>#VALUE!</v>
      </c>
      <c r="H48" s="3066" t="e">
        <f t="shared" si="3"/>
        <v>#VALUE!</v>
      </c>
      <c r="I48" s="3060"/>
      <c r="J48" s="3067" t="e">
        <f t="shared" si="1"/>
        <v>#VALUE!</v>
      </c>
      <c r="K48" s="3067" t="e">
        <f t="shared" si="2"/>
        <v>#VALUE!</v>
      </c>
      <c r="L48" s="4522"/>
      <c r="M48" s="4522"/>
    </row>
    <row r="49" spans="1:13" ht="12.75" customHeight="1">
      <c r="B49" s="3062"/>
      <c r="C49" s="3063"/>
      <c r="D49" s="3064"/>
      <c r="E49" s="4525"/>
      <c r="F49" s="4526"/>
      <c r="G49" s="3065" t="e">
        <f t="shared" si="0"/>
        <v>#VALUE!</v>
      </c>
      <c r="H49" s="3066" t="e">
        <f t="shared" si="3"/>
        <v>#VALUE!</v>
      </c>
      <c r="I49" s="3060"/>
      <c r="J49" s="3067" t="e">
        <f t="shared" si="1"/>
        <v>#VALUE!</v>
      </c>
      <c r="K49" s="3067" t="e">
        <f t="shared" si="2"/>
        <v>#VALUE!</v>
      </c>
      <c r="L49" s="4522"/>
      <c r="M49" s="4522"/>
    </row>
    <row r="50" spans="1:13" ht="12.75" customHeight="1">
      <c r="B50" s="3062"/>
      <c r="C50" s="3063"/>
      <c r="D50" s="3064"/>
      <c r="E50" s="4525"/>
      <c r="F50" s="4526"/>
      <c r="G50" s="3065" t="e">
        <f t="shared" si="0"/>
        <v>#VALUE!</v>
      </c>
      <c r="H50" s="3066" t="e">
        <f t="shared" si="3"/>
        <v>#VALUE!</v>
      </c>
      <c r="I50" s="3060"/>
      <c r="J50" s="3067" t="e">
        <f t="shared" si="1"/>
        <v>#VALUE!</v>
      </c>
      <c r="K50" s="3067" t="e">
        <f t="shared" si="2"/>
        <v>#VALUE!</v>
      </c>
      <c r="L50" s="4522"/>
      <c r="M50" s="4522"/>
    </row>
    <row r="51" spans="1:13" ht="12.75" customHeight="1" thickBot="1">
      <c r="B51" s="3069"/>
      <c r="C51" s="3070"/>
      <c r="D51" s="3071"/>
      <c r="E51" s="4539"/>
      <c r="F51" s="4540"/>
      <c r="G51" s="3072" t="e">
        <f t="shared" si="0"/>
        <v>#VALUE!</v>
      </c>
      <c r="H51" s="3073" t="e">
        <f t="shared" si="3"/>
        <v>#VALUE!</v>
      </c>
      <c r="I51" s="3060"/>
      <c r="J51" s="3074" t="e">
        <f t="shared" si="1"/>
        <v>#VALUE!</v>
      </c>
      <c r="K51" s="3074" t="e">
        <f t="shared" si="2"/>
        <v>#VALUE!</v>
      </c>
      <c r="L51" s="4522"/>
      <c r="M51" s="4522"/>
    </row>
    <row r="52" spans="1:13" ht="15" customHeight="1" thickBot="1">
      <c r="A52" s="3050"/>
      <c r="B52" s="3075"/>
      <c r="D52" s="3041"/>
      <c r="E52" s="3041"/>
      <c r="F52" s="3041"/>
      <c r="G52" s="3076" t="s">
        <v>4193</v>
      </c>
      <c r="H52" s="3077" t="e">
        <f>SUM(H33:H51)</f>
        <v>#VALUE!</v>
      </c>
      <c r="I52" s="3041"/>
      <c r="J52" s="3075" t="s">
        <v>4194</v>
      </c>
      <c r="K52" s="3078" t="e">
        <f>SUM(K33:K51)</f>
        <v>#VALUE!</v>
      </c>
      <c r="L52" s="4522"/>
      <c r="M52" s="4522"/>
    </row>
    <row r="53" spans="1:13" ht="15" customHeight="1">
      <c r="A53" s="3050"/>
      <c r="B53" s="3079"/>
      <c r="C53" s="4541" t="s">
        <v>4195</v>
      </c>
      <c r="D53" s="4541"/>
      <c r="E53" s="4541"/>
      <c r="F53" s="4541"/>
      <c r="G53" s="4541"/>
      <c r="H53" s="4541"/>
      <c r="I53" s="4541"/>
      <c r="J53" s="4542"/>
      <c r="K53" s="3080" t="str">
        <f>IF(J17="no",0,IF(J17="yes",J16,"Error"))</f>
        <v>Error</v>
      </c>
      <c r="L53" s="4522"/>
      <c r="M53" s="4522"/>
    </row>
    <row r="54" spans="1:13" ht="15" customHeight="1" thickBot="1">
      <c r="A54" s="3050"/>
      <c r="B54" s="3079"/>
      <c r="C54" s="4543" t="s">
        <v>4196</v>
      </c>
      <c r="D54" s="4543"/>
      <c r="E54" s="4543"/>
      <c r="F54" s="4543"/>
      <c r="G54" s="4543"/>
      <c r="H54" s="4543"/>
      <c r="I54" s="4543"/>
      <c r="J54" s="4544"/>
      <c r="K54" s="3081" t="e">
        <f>K52+K53</f>
        <v>#VALUE!</v>
      </c>
    </row>
    <row r="55" spans="1:13" ht="7.9" customHeight="1">
      <c r="A55" s="4545"/>
      <c r="B55" s="4546"/>
      <c r="C55" s="4546"/>
      <c r="D55" s="4546"/>
      <c r="E55" s="4546"/>
      <c r="F55" s="4546"/>
      <c r="G55" s="4546"/>
      <c r="H55" s="4546"/>
      <c r="I55" s="4546"/>
      <c r="J55" s="4546"/>
      <c r="K55" s="3082"/>
    </row>
    <row r="56" spans="1:13" ht="15" customHeight="1">
      <c r="A56" s="4536" t="s">
        <v>4197</v>
      </c>
      <c r="B56" s="4537"/>
      <c r="C56" s="4537"/>
      <c r="D56" s="4537"/>
      <c r="E56" s="4537"/>
      <c r="F56" s="4537"/>
      <c r="G56" s="4537"/>
      <c r="H56" s="4537"/>
      <c r="I56" s="4537"/>
      <c r="J56" s="4537"/>
      <c r="K56" s="4538"/>
    </row>
    <row r="57" spans="1:13" ht="48" customHeight="1">
      <c r="A57" s="3083"/>
      <c r="B57" s="3084"/>
      <c r="C57" s="3085" t="s">
        <v>4198</v>
      </c>
      <c r="D57" s="3086" t="s">
        <v>6273</v>
      </c>
      <c r="E57" s="4547" t="s">
        <v>4214</v>
      </c>
      <c r="F57" s="4548"/>
      <c r="G57" s="4549" t="s">
        <v>4199</v>
      </c>
      <c r="H57" s="4550"/>
      <c r="I57" s="4547" t="s">
        <v>4213</v>
      </c>
      <c r="J57" s="4548"/>
      <c r="K57" s="4551"/>
    </row>
    <row r="58" spans="1:13" ht="15" customHeight="1">
      <c r="A58" s="3087"/>
      <c r="B58" s="3088"/>
      <c r="C58" s="3089">
        <f>SUMIF(C33:C51, "0", H33:H51)</f>
        <v>0</v>
      </c>
      <c r="D58" s="3090">
        <f t="shared" ref="D58:D63" si="4">ROUNDUP(C58*1.1,0)</f>
        <v>0</v>
      </c>
      <c r="E58" s="4553" t="s">
        <v>4200</v>
      </c>
      <c r="F58" s="4554"/>
      <c r="G58" s="4555">
        <v>153314.4</v>
      </c>
      <c r="H58" s="4556"/>
      <c r="I58" s="4557">
        <f t="shared" ref="I58:I63" si="5">D58*G58</f>
        <v>0</v>
      </c>
      <c r="J58" s="4557"/>
      <c r="K58" s="4552"/>
    </row>
    <row r="59" spans="1:13">
      <c r="A59" s="3087"/>
      <c r="B59" s="3088"/>
      <c r="C59" s="3091">
        <f>SUMIF(C33:C51, "1", H33:H51)</f>
        <v>0</v>
      </c>
      <c r="D59" s="3092">
        <f t="shared" si="4"/>
        <v>0</v>
      </c>
      <c r="E59" s="4558" t="s">
        <v>2559</v>
      </c>
      <c r="F59" s="4559"/>
      <c r="G59" s="4560">
        <v>175752</v>
      </c>
      <c r="H59" s="4561"/>
      <c r="I59" s="4562">
        <f t="shared" si="5"/>
        <v>0</v>
      </c>
      <c r="J59" s="4562"/>
      <c r="K59" s="4552"/>
    </row>
    <row r="60" spans="1:13" ht="15" customHeight="1">
      <c r="A60" s="3087"/>
      <c r="B60" s="3088"/>
      <c r="C60" s="3091">
        <f>SUMIF(C33:C51, "2", H33:H51)</f>
        <v>0</v>
      </c>
      <c r="D60" s="3092">
        <f t="shared" si="4"/>
        <v>0</v>
      </c>
      <c r="E60" s="4558" t="s">
        <v>2560</v>
      </c>
      <c r="F60" s="4559"/>
      <c r="G60" s="4560">
        <v>213717.6</v>
      </c>
      <c r="H60" s="4561"/>
      <c r="I60" s="4562">
        <f t="shared" si="5"/>
        <v>0</v>
      </c>
      <c r="J60" s="4562"/>
      <c r="K60" s="4552"/>
    </row>
    <row r="61" spans="1:13">
      <c r="A61" s="3087"/>
      <c r="B61" s="3088"/>
      <c r="C61" s="3091">
        <f>SUMIF(C33:C51, "3", H33:H51)</f>
        <v>0</v>
      </c>
      <c r="D61" s="3092">
        <f t="shared" si="4"/>
        <v>0</v>
      </c>
      <c r="E61" s="4558" t="s">
        <v>2563</v>
      </c>
      <c r="F61" s="4559"/>
      <c r="G61" s="4560">
        <v>276482.40000000002</v>
      </c>
      <c r="H61" s="4561"/>
      <c r="I61" s="4562">
        <f t="shared" si="5"/>
        <v>0</v>
      </c>
      <c r="J61" s="4562"/>
      <c r="K61" s="4552"/>
    </row>
    <row r="62" spans="1:13">
      <c r="A62" s="3087"/>
      <c r="B62" s="3088"/>
      <c r="C62" s="3091">
        <f>SUMIF(C33:C51, "4", H33:H51)</f>
        <v>0</v>
      </c>
      <c r="D62" s="3092">
        <f t="shared" si="4"/>
        <v>0</v>
      </c>
      <c r="E62" s="4558" t="s">
        <v>4201</v>
      </c>
      <c r="F62" s="4559"/>
      <c r="G62" s="4560">
        <v>303489.59999999998</v>
      </c>
      <c r="H62" s="4561"/>
      <c r="I62" s="4562">
        <f t="shared" si="5"/>
        <v>0</v>
      </c>
      <c r="J62" s="4562"/>
      <c r="K62" s="4552"/>
    </row>
    <row r="63" spans="1:13">
      <c r="A63" s="3093"/>
      <c r="B63" s="3094"/>
      <c r="C63" s="3095">
        <f>SUMIF(C33:C51, "5", H33:H51)</f>
        <v>0</v>
      </c>
      <c r="D63" s="3096">
        <f t="shared" si="4"/>
        <v>0</v>
      </c>
      <c r="E63" s="4564" t="s">
        <v>4202</v>
      </c>
      <c r="F63" s="4565"/>
      <c r="G63" s="4566">
        <v>303489.59999999998</v>
      </c>
      <c r="H63" s="4567"/>
      <c r="I63" s="4568">
        <f t="shared" si="5"/>
        <v>0</v>
      </c>
      <c r="J63" s="4568"/>
      <c r="K63" s="3097"/>
    </row>
    <row r="64" spans="1:13" ht="17.25" thickBot="1">
      <c r="A64" s="3098" t="s">
        <v>4203</v>
      </c>
      <c r="B64" s="3099">
        <f>SUM(C58:C63)</f>
        <v>0</v>
      </c>
      <c r="C64" s="3100"/>
      <c r="D64" s="3100">
        <f>SUM(D58:D63)</f>
        <v>0</v>
      </c>
      <c r="E64" s="3101"/>
      <c r="F64" s="3101"/>
      <c r="G64" s="3101"/>
      <c r="H64" s="3101"/>
      <c r="I64" s="3101"/>
      <c r="J64" s="3102" t="s">
        <v>4204</v>
      </c>
      <c r="K64" s="3103">
        <f>SUM(I58:I62)</f>
        <v>0</v>
      </c>
    </row>
    <row r="65" spans="1:11">
      <c r="A65" s="4546"/>
      <c r="B65" s="4546"/>
      <c r="C65" s="4546"/>
      <c r="D65" s="4546"/>
      <c r="E65" s="4546"/>
      <c r="F65" s="4546"/>
      <c r="G65" s="4546"/>
      <c r="H65" s="4546"/>
      <c r="I65" s="4546"/>
      <c r="J65" s="4546"/>
    </row>
    <row r="66" spans="1:11">
      <c r="A66" s="4536" t="s">
        <v>4205</v>
      </c>
      <c r="B66" s="4537"/>
      <c r="C66" s="4537"/>
      <c r="D66" s="4537"/>
      <c r="E66" s="4537"/>
      <c r="F66" s="4537"/>
      <c r="G66" s="4537"/>
      <c r="H66" s="4537"/>
      <c r="I66" s="4537"/>
      <c r="J66" s="4537"/>
      <c r="K66" s="4538"/>
    </row>
    <row r="67" spans="1:11" ht="15" customHeight="1">
      <c r="A67" s="3104"/>
      <c r="B67" s="3105"/>
      <c r="C67" s="3106"/>
      <c r="D67" s="3106"/>
      <c r="E67" s="3106" t="s">
        <v>4206</v>
      </c>
      <c r="F67" s="3106"/>
      <c r="G67" s="3106"/>
      <c r="H67" s="3106"/>
      <c r="I67" s="3106"/>
      <c r="J67" s="3107"/>
      <c r="K67" s="3108">
        <f>J11</f>
        <v>0</v>
      </c>
    </row>
    <row r="68" spans="1:11">
      <c r="A68" s="3109"/>
      <c r="B68" s="3050"/>
      <c r="C68" s="3110"/>
      <c r="D68" s="3110"/>
      <c r="E68" s="3110" t="s">
        <v>4207</v>
      </c>
      <c r="F68" s="3110"/>
      <c r="G68" s="3110"/>
      <c r="H68" s="3110"/>
      <c r="I68" s="3110"/>
      <c r="J68" s="3111"/>
      <c r="K68" s="3108" t="e">
        <f>K54</f>
        <v>#VALUE!</v>
      </c>
    </row>
    <row r="69" spans="1:11" ht="17.25" thickBot="1">
      <c r="A69" s="3112"/>
      <c r="B69" s="3113"/>
      <c r="C69" s="3114"/>
      <c r="D69" s="3114"/>
      <c r="E69" s="3114" t="s">
        <v>4208</v>
      </c>
      <c r="F69" s="3114"/>
      <c r="G69" s="3114"/>
      <c r="H69" s="3114"/>
      <c r="I69" s="3114"/>
      <c r="J69" s="3115"/>
      <c r="K69" s="3116">
        <f>K64</f>
        <v>0</v>
      </c>
    </row>
    <row r="70" spans="1:11" ht="17.25" thickBot="1">
      <c r="A70" s="3117"/>
      <c r="B70" s="3118"/>
      <c r="C70" s="4563" t="s">
        <v>4209</v>
      </c>
      <c r="D70" s="4563"/>
      <c r="E70" s="4563"/>
      <c r="F70" s="4563"/>
      <c r="G70" s="4563"/>
      <c r="H70" s="4563"/>
      <c r="I70" s="4563"/>
      <c r="J70" s="4563"/>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d+AheX/me6hA+vi+J3swFxTSL9x3KIiZQeVVw3iKXjYB78Q7tdUNWEt8vKbnN2UEdMwhJDsizsFDoQi6Cv5b6g==" saltValue="nUnhvqmLP+pJyF71SxKWOA=="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580" t="str">
        <f>'Part I-Project Information'!F35</f>
        <v>Dunbar Court</v>
      </c>
      <c r="E3" s="4581"/>
      <c r="F3" s="4581"/>
      <c r="G3" s="4581"/>
      <c r="H3" s="4581"/>
      <c r="I3" s="4581"/>
      <c r="J3" s="4586" t="s">
        <v>4173</v>
      </c>
      <c r="K3" s="4587"/>
    </row>
    <row r="4" spans="1:11" ht="15" customHeight="1">
      <c r="A4" s="1415" t="s">
        <v>4171</v>
      </c>
      <c r="B4" s="1416"/>
      <c r="C4" s="1417"/>
      <c r="D4" s="4582" t="str">
        <f>CONCATENATE('Part I-Project Information'!F36,", ",'Part I-Project Information'!F39,", GA ",'Part I-Project Information'!J39," (",'Part I-Project Information'!J40," Co.)",)</f>
        <v>New Dunbar Road, Byron, GA 310086337 (Peach Co.)</v>
      </c>
      <c r="E4" s="4583"/>
      <c r="F4" s="4583"/>
      <c r="G4" s="4583"/>
      <c r="H4" s="4583"/>
      <c r="I4" s="4583"/>
      <c r="J4" s="4588" t="s">
        <v>4212</v>
      </c>
      <c r="K4" s="4589"/>
    </row>
    <row r="5" spans="1:11" ht="15" customHeight="1" thickBot="1">
      <c r="A5" s="1418" t="s">
        <v>4172</v>
      </c>
      <c r="B5" s="1419"/>
      <c r="C5" s="1420"/>
      <c r="D5" s="4584"/>
      <c r="E5" s="4585"/>
      <c r="F5" s="4585"/>
      <c r="G5" s="4585"/>
      <c r="H5" s="4585"/>
      <c r="I5" s="4585"/>
      <c r="J5" s="4590"/>
      <c r="K5" s="4591"/>
    </row>
    <row r="6" spans="1:11" ht="9" customHeight="1" thickBot="1">
      <c r="E6" s="1410"/>
    </row>
    <row r="7" spans="1:11">
      <c r="A7" s="4577" t="s">
        <v>4174</v>
      </c>
      <c r="B7" s="4578"/>
      <c r="C7" s="4578"/>
      <c r="D7" s="4578"/>
      <c r="E7" s="4578"/>
      <c r="F7" s="4578"/>
      <c r="G7" s="4578"/>
      <c r="H7" s="4578"/>
      <c r="I7" s="4578"/>
      <c r="J7" s="4578"/>
      <c r="K7" s="4579"/>
    </row>
    <row r="8" spans="1:11" ht="14.25" customHeight="1">
      <c r="A8" s="1436"/>
      <c r="B8" s="1436"/>
      <c r="C8" s="1450">
        <v>1</v>
      </c>
      <c r="D8" s="1437" t="s">
        <v>4175</v>
      </c>
      <c r="E8" s="1437"/>
      <c r="F8" s="1437"/>
      <c r="G8" s="1437"/>
      <c r="H8" s="1437"/>
      <c r="I8" s="1437"/>
      <c r="J8" s="4650"/>
      <c r="K8" s="4651"/>
    </row>
    <row r="9" spans="1:11" ht="7.15" customHeight="1">
      <c r="A9" s="4594"/>
      <c r="B9" s="4594"/>
      <c r="C9" s="4594"/>
      <c r="D9" s="4595"/>
      <c r="E9" s="4595"/>
      <c r="F9" s="4595"/>
      <c r="G9" s="4595"/>
      <c r="H9" s="4595"/>
      <c r="I9" s="4595"/>
      <c r="J9" s="4595"/>
      <c r="K9" s="1438"/>
    </row>
    <row r="10" spans="1:11">
      <c r="A10" s="4599" t="s">
        <v>4176</v>
      </c>
      <c r="B10" s="4600"/>
      <c r="C10" s="4600"/>
      <c r="D10" s="4600"/>
      <c r="E10" s="4600"/>
      <c r="F10" s="4600"/>
      <c r="G10" s="4600"/>
      <c r="H10" s="4600"/>
      <c r="I10" s="4600"/>
      <c r="J10" s="4600"/>
      <c r="K10" s="4601"/>
    </row>
    <row r="11" spans="1:11" ht="14.25" customHeight="1">
      <c r="A11" s="1436"/>
      <c r="B11" s="1436"/>
      <c r="C11" s="1450">
        <v>2</v>
      </c>
      <c r="D11" s="1437" t="s">
        <v>4177</v>
      </c>
      <c r="E11" s="1439"/>
      <c r="F11" s="1439"/>
      <c r="G11" s="1439"/>
      <c r="H11" s="1439"/>
      <c r="I11" s="1439"/>
      <c r="J11" s="4648"/>
      <c r="K11" s="4649"/>
    </row>
    <row r="12" spans="1:11" ht="7.15" customHeight="1">
      <c r="A12" s="4594"/>
      <c r="B12" s="4594"/>
      <c r="C12" s="4594"/>
      <c r="D12" s="4595"/>
      <c r="E12" s="4595"/>
      <c r="F12" s="4595"/>
      <c r="G12" s="4595"/>
      <c r="H12" s="4595"/>
      <c r="I12" s="4595"/>
      <c r="J12" s="4595"/>
      <c r="K12" s="1440"/>
    </row>
    <row r="13" spans="1:11">
      <c r="A13" s="4599" t="s">
        <v>4178</v>
      </c>
      <c r="B13" s="4600"/>
      <c r="C13" s="4600"/>
      <c r="D13" s="4600"/>
      <c r="E13" s="4600"/>
      <c r="F13" s="4600"/>
      <c r="G13" s="4600"/>
      <c r="H13" s="4600"/>
      <c r="I13" s="4600"/>
      <c r="J13" s="4600"/>
      <c r="K13" s="4601"/>
    </row>
    <row r="14" spans="1:11" ht="14.25" customHeight="1">
      <c r="A14" s="1416"/>
      <c r="B14" s="1416"/>
      <c r="C14" s="1451">
        <v>3</v>
      </c>
      <c r="D14" s="1441" t="s">
        <v>4179</v>
      </c>
      <c r="E14" s="1441"/>
      <c r="F14" s="1441"/>
      <c r="G14" s="1441"/>
      <c r="H14" s="1441"/>
      <c r="I14" s="1441"/>
      <c r="J14" s="4646"/>
      <c r="K14" s="4647"/>
    </row>
    <row r="15" spans="1:11" ht="14.25" customHeight="1">
      <c r="A15" s="1416"/>
      <c r="B15" s="1416"/>
      <c r="C15" s="1452">
        <v>4</v>
      </c>
      <c r="D15" s="1416" t="s">
        <v>4180</v>
      </c>
      <c r="E15" s="1416"/>
      <c r="F15" s="1416"/>
      <c r="G15" s="1416"/>
      <c r="H15" s="1416"/>
      <c r="I15" s="1416"/>
      <c r="J15" s="4644"/>
      <c r="K15" s="4645"/>
    </row>
    <row r="16" spans="1:11" ht="14.25" customHeight="1">
      <c r="A16" s="1416"/>
      <c r="B16" s="1416"/>
      <c r="C16" s="1452">
        <v>5</v>
      </c>
      <c r="D16" s="1416" t="s">
        <v>4181</v>
      </c>
      <c r="E16" s="1416"/>
      <c r="F16" s="1416"/>
      <c r="G16" s="1416"/>
      <c r="H16" s="1416"/>
      <c r="I16" s="1416"/>
      <c r="J16" s="4644"/>
      <c r="K16" s="4645"/>
    </row>
    <row r="17" spans="1:13" ht="14.25" customHeight="1">
      <c r="A17" s="1436"/>
      <c r="B17" s="1436"/>
      <c r="C17" s="1453">
        <v>6</v>
      </c>
      <c r="D17" s="1419" t="s">
        <v>4182</v>
      </c>
      <c r="E17" s="1419"/>
      <c r="F17" s="1419"/>
      <c r="G17" s="1419"/>
      <c r="H17" s="1419"/>
      <c r="I17" s="1419"/>
      <c r="J17" s="4658"/>
      <c r="K17" s="4659"/>
    </row>
    <row r="18" spans="1:13" ht="7.15" customHeight="1">
      <c r="A18" s="4594"/>
      <c r="B18" s="4594"/>
      <c r="C18" s="4594"/>
      <c r="D18" s="4595"/>
      <c r="E18" s="4595"/>
      <c r="F18" s="4595"/>
      <c r="G18" s="4595"/>
      <c r="H18" s="4595"/>
      <c r="I18" s="4595"/>
      <c r="J18" s="4595"/>
      <c r="K18" s="1440"/>
    </row>
    <row r="19" spans="1:13" ht="14.25" customHeight="1">
      <c r="A19" s="1416"/>
      <c r="B19" s="1416"/>
      <c r="C19" s="1451">
        <v>7</v>
      </c>
      <c r="D19" s="1441" t="s">
        <v>4183</v>
      </c>
      <c r="E19" s="1441"/>
      <c r="F19" s="1441"/>
      <c r="G19" s="1441"/>
      <c r="H19" s="1441"/>
      <c r="I19" s="1441"/>
      <c r="J19" s="4656" t="str">
        <f>IF(J17="No",J14-J15,IF(J17="Yes",J14-J15-J16,"Error"))</f>
        <v>Error</v>
      </c>
      <c r="K19" s="4657"/>
    </row>
    <row r="20" spans="1:13" ht="14.25" customHeight="1">
      <c r="A20" s="1436"/>
      <c r="B20" s="1436"/>
      <c r="C20" s="1453">
        <v>8</v>
      </c>
      <c r="D20" s="1419" t="s">
        <v>4184</v>
      </c>
      <c r="E20" s="1419"/>
      <c r="F20" s="1419"/>
      <c r="G20" s="1419"/>
      <c r="H20" s="1419"/>
      <c r="I20" s="1419"/>
      <c r="J20" s="4654" t="e">
        <f>ROUNDDOWN(J19/J8,2)</f>
        <v>#VALUE!</v>
      </c>
      <c r="K20" s="4655"/>
    </row>
    <row r="21" spans="1:13" ht="7.15" customHeight="1">
      <c r="A21" s="4594"/>
      <c r="B21" s="4594"/>
      <c r="C21" s="4594"/>
      <c r="D21" s="4595"/>
      <c r="E21" s="4595"/>
      <c r="F21" s="4595"/>
      <c r="G21" s="4595"/>
      <c r="H21" s="4595"/>
      <c r="I21" s="4595"/>
      <c r="J21" s="4595"/>
      <c r="K21" s="1440"/>
    </row>
    <row r="22" spans="1:13" ht="14.25" customHeight="1" thickBot="1">
      <c r="A22" s="1416"/>
      <c r="B22" s="1416"/>
      <c r="C22" s="1450">
        <v>9</v>
      </c>
      <c r="D22" s="1442" t="s">
        <v>4185</v>
      </c>
      <c r="E22" s="1442"/>
      <c r="F22" s="1442"/>
      <c r="G22" s="1442"/>
      <c r="H22" s="1442"/>
      <c r="I22" s="1442"/>
      <c r="J22" s="4652" t="e">
        <f>J11/J19</f>
        <v>#VALUE!</v>
      </c>
      <c r="K22" s="4653"/>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3" t="s">
        <v>4216</v>
      </c>
      <c r="B30" s="4634"/>
      <c r="C30" s="4634"/>
      <c r="D30" s="4634"/>
      <c r="E30" s="4634"/>
      <c r="F30" s="4634"/>
      <c r="G30" s="4634"/>
      <c r="H30" s="4634"/>
      <c r="I30" s="4634"/>
      <c r="J30" s="4634"/>
      <c r="K30" s="4635"/>
    </row>
    <row r="31" spans="1:13">
      <c r="A31" s="1434"/>
      <c r="B31" s="4636" t="s">
        <v>4173</v>
      </c>
      <c r="C31" s="4636"/>
      <c r="D31" s="4636"/>
      <c r="E31" s="4636"/>
      <c r="F31" s="4636"/>
      <c r="G31" s="4596" t="s">
        <v>4187</v>
      </c>
      <c r="H31" s="4597"/>
      <c r="I31" s="4597"/>
      <c r="J31" s="4597"/>
      <c r="K31" s="4598"/>
    </row>
    <row r="32" spans="1:13" ht="56.25" customHeight="1">
      <c r="A32" s="1435"/>
      <c r="B32" s="1454" t="s">
        <v>4215</v>
      </c>
      <c r="C32" s="1455" t="s">
        <v>4211</v>
      </c>
      <c r="D32" s="1455" t="s">
        <v>4210</v>
      </c>
      <c r="E32" s="4602" t="s">
        <v>6313</v>
      </c>
      <c r="F32" s="4603"/>
      <c r="G32" s="1456" t="s">
        <v>4188</v>
      </c>
      <c r="H32" s="1456" t="s">
        <v>4189</v>
      </c>
      <c r="J32" s="1456" t="s">
        <v>4190</v>
      </c>
      <c r="K32" s="1456" t="s">
        <v>4191</v>
      </c>
      <c r="L32" s="4631" t="s">
        <v>4192</v>
      </c>
      <c r="M32" s="4631"/>
    </row>
    <row r="33" spans="2:14" ht="12.75" customHeight="1">
      <c r="B33" s="1569"/>
      <c r="C33" s="1570"/>
      <c r="D33" s="1571"/>
      <c r="E33" s="4604"/>
      <c r="F33" s="4605"/>
      <c r="G33" s="1476" t="e">
        <f t="shared" ref="G33:G51" si="0">$J$22*B33</f>
        <v>#VALUE!</v>
      </c>
      <c r="H33" s="1477" t="e">
        <f>ROUNDUP(G33,0)</f>
        <v>#VALUE!</v>
      </c>
      <c r="I33" s="1478"/>
      <c r="J33" s="1479" t="e">
        <f t="shared" ref="J33:J51" si="1">$J$20*E33</f>
        <v>#VALUE!</v>
      </c>
      <c r="K33" s="1479" t="e">
        <f t="shared" ref="K33:K51" si="2">ROUNDDOWN(J33*H33,0)</f>
        <v>#VALUE!</v>
      </c>
      <c r="L33" s="4631"/>
      <c r="M33" s="4631"/>
    </row>
    <row r="34" spans="2:14" ht="12.75" customHeight="1">
      <c r="B34" s="1572"/>
      <c r="C34" s="1573"/>
      <c r="D34" s="1574"/>
      <c r="E34" s="4606"/>
      <c r="F34" s="4607"/>
      <c r="G34" s="1480" t="e">
        <f t="shared" si="0"/>
        <v>#VALUE!</v>
      </c>
      <c r="H34" s="1481" t="e">
        <f t="shared" ref="H34:H51" si="3">ROUNDUP(G34,0)</f>
        <v>#VALUE!</v>
      </c>
      <c r="I34" s="1478"/>
      <c r="J34" s="1482" t="e">
        <f t="shared" si="1"/>
        <v>#VALUE!</v>
      </c>
      <c r="K34" s="1482" t="e">
        <f t="shared" si="2"/>
        <v>#VALUE!</v>
      </c>
      <c r="L34" s="4631"/>
      <c r="M34" s="4631"/>
    </row>
    <row r="35" spans="2:14" ht="12.75" customHeight="1">
      <c r="B35" s="1572"/>
      <c r="C35" s="1573"/>
      <c r="D35" s="1574"/>
      <c r="E35" s="4606"/>
      <c r="F35" s="4607"/>
      <c r="G35" s="1480" t="e">
        <f t="shared" si="0"/>
        <v>#VALUE!</v>
      </c>
      <c r="H35" s="1481" t="e">
        <f t="shared" si="3"/>
        <v>#VALUE!</v>
      </c>
      <c r="I35" s="1478"/>
      <c r="J35" s="1482" t="e">
        <f t="shared" si="1"/>
        <v>#VALUE!</v>
      </c>
      <c r="K35" s="1482" t="e">
        <f t="shared" si="2"/>
        <v>#VALUE!</v>
      </c>
      <c r="L35" s="4631"/>
      <c r="M35" s="4631"/>
    </row>
    <row r="36" spans="2:14" ht="12.75" customHeight="1">
      <c r="B36" s="1572"/>
      <c r="C36" s="1573"/>
      <c r="D36" s="1574"/>
      <c r="E36" s="4606"/>
      <c r="F36" s="4607"/>
      <c r="G36" s="1480" t="e">
        <f t="shared" si="0"/>
        <v>#VALUE!</v>
      </c>
      <c r="H36" s="1481" t="e">
        <f t="shared" si="3"/>
        <v>#VALUE!</v>
      </c>
      <c r="I36" s="1478"/>
      <c r="J36" s="1482" t="e">
        <f t="shared" si="1"/>
        <v>#VALUE!</v>
      </c>
      <c r="K36" s="1482" t="e">
        <f t="shared" si="2"/>
        <v>#VALUE!</v>
      </c>
      <c r="L36" s="4631"/>
      <c r="M36" s="4631"/>
      <c r="N36" s="1429"/>
    </row>
    <row r="37" spans="2:14" ht="12.75" customHeight="1">
      <c r="B37" s="1572"/>
      <c r="C37" s="1573"/>
      <c r="D37" s="1574"/>
      <c r="E37" s="4606"/>
      <c r="F37" s="4607"/>
      <c r="G37" s="1480" t="e">
        <f t="shared" si="0"/>
        <v>#VALUE!</v>
      </c>
      <c r="H37" s="1481" t="e">
        <f t="shared" si="3"/>
        <v>#VALUE!</v>
      </c>
      <c r="I37" s="1478"/>
      <c r="J37" s="1482" t="e">
        <f t="shared" si="1"/>
        <v>#VALUE!</v>
      </c>
      <c r="K37" s="1482" t="e">
        <f t="shared" si="2"/>
        <v>#VALUE!</v>
      </c>
      <c r="L37" s="4631"/>
      <c r="M37" s="4631"/>
    </row>
    <row r="38" spans="2:14" ht="12.75" customHeight="1">
      <c r="B38" s="1572"/>
      <c r="C38" s="1573"/>
      <c r="D38" s="1574"/>
      <c r="E38" s="4606"/>
      <c r="F38" s="4607"/>
      <c r="G38" s="1480" t="e">
        <f t="shared" si="0"/>
        <v>#VALUE!</v>
      </c>
      <c r="H38" s="1481" t="e">
        <f t="shared" si="3"/>
        <v>#VALUE!</v>
      </c>
      <c r="I38" s="1478"/>
      <c r="J38" s="1482" t="e">
        <f t="shared" si="1"/>
        <v>#VALUE!</v>
      </c>
      <c r="K38" s="1482" t="e">
        <f t="shared" si="2"/>
        <v>#VALUE!</v>
      </c>
      <c r="L38" s="4631"/>
      <c r="M38" s="4631"/>
    </row>
    <row r="39" spans="2:14" ht="12.75" customHeight="1">
      <c r="B39" s="1572"/>
      <c r="C39" s="1573"/>
      <c r="D39" s="1574"/>
      <c r="E39" s="4606"/>
      <c r="F39" s="4607"/>
      <c r="G39" s="1480" t="e">
        <f t="shared" si="0"/>
        <v>#VALUE!</v>
      </c>
      <c r="H39" s="1481" t="e">
        <f t="shared" si="3"/>
        <v>#VALUE!</v>
      </c>
      <c r="I39" s="1478"/>
      <c r="J39" s="1482" t="e">
        <f t="shared" si="1"/>
        <v>#VALUE!</v>
      </c>
      <c r="K39" s="1482" t="e">
        <f t="shared" si="2"/>
        <v>#VALUE!</v>
      </c>
      <c r="L39" s="4631"/>
      <c r="M39" s="4631"/>
    </row>
    <row r="40" spans="2:14" ht="12.75" customHeight="1">
      <c r="B40" s="1572"/>
      <c r="C40" s="1573"/>
      <c r="D40" s="1574"/>
      <c r="E40" s="4606"/>
      <c r="F40" s="4607"/>
      <c r="G40" s="1480" t="e">
        <f t="shared" si="0"/>
        <v>#VALUE!</v>
      </c>
      <c r="H40" s="1481" t="e">
        <f t="shared" si="3"/>
        <v>#VALUE!</v>
      </c>
      <c r="I40" s="1478"/>
      <c r="J40" s="1482" t="e">
        <f t="shared" si="1"/>
        <v>#VALUE!</v>
      </c>
      <c r="K40" s="1482" t="e">
        <f t="shared" si="2"/>
        <v>#VALUE!</v>
      </c>
      <c r="L40" s="4631"/>
      <c r="M40" s="4631"/>
    </row>
    <row r="41" spans="2:14" ht="12.75" customHeight="1">
      <c r="B41" s="1572"/>
      <c r="C41" s="1573"/>
      <c r="D41" s="1574"/>
      <c r="E41" s="4606"/>
      <c r="F41" s="4607"/>
      <c r="G41" s="1480" t="e">
        <f t="shared" si="0"/>
        <v>#VALUE!</v>
      </c>
      <c r="H41" s="1481" t="e">
        <f t="shared" si="3"/>
        <v>#VALUE!</v>
      </c>
      <c r="I41" s="1478"/>
      <c r="J41" s="1482" t="e">
        <f t="shared" si="1"/>
        <v>#VALUE!</v>
      </c>
      <c r="K41" s="1482" t="e">
        <f t="shared" si="2"/>
        <v>#VALUE!</v>
      </c>
      <c r="L41" s="4631"/>
      <c r="M41" s="4631"/>
    </row>
    <row r="42" spans="2:14" ht="12.75" customHeight="1">
      <c r="B42" s="1572"/>
      <c r="C42" s="1573"/>
      <c r="D42" s="1574"/>
      <c r="E42" s="4606"/>
      <c r="F42" s="4607"/>
      <c r="G42" s="1480" t="e">
        <f t="shared" si="0"/>
        <v>#VALUE!</v>
      </c>
      <c r="H42" s="1481" t="e">
        <f>ROUNDUP(G42,0)</f>
        <v>#VALUE!</v>
      </c>
      <c r="I42" s="1478"/>
      <c r="J42" s="1482" t="e">
        <f t="shared" si="1"/>
        <v>#VALUE!</v>
      </c>
      <c r="K42" s="1482" t="e">
        <f t="shared" si="2"/>
        <v>#VALUE!</v>
      </c>
      <c r="L42" s="4631"/>
      <c r="M42" s="4631"/>
    </row>
    <row r="43" spans="2:14" ht="12.75" customHeight="1">
      <c r="B43" s="1572"/>
      <c r="C43" s="1573"/>
      <c r="D43" s="1574"/>
      <c r="E43" s="4606"/>
      <c r="F43" s="4607"/>
      <c r="G43" s="1480" t="e">
        <f t="shared" si="0"/>
        <v>#VALUE!</v>
      </c>
      <c r="H43" s="1481" t="e">
        <f>ROUNDUP(G43,0)</f>
        <v>#VALUE!</v>
      </c>
      <c r="I43" s="1478"/>
      <c r="J43" s="1482" t="e">
        <f t="shared" si="1"/>
        <v>#VALUE!</v>
      </c>
      <c r="K43" s="1482" t="e">
        <f t="shared" si="2"/>
        <v>#VALUE!</v>
      </c>
      <c r="L43" s="4631"/>
      <c r="M43" s="4631"/>
    </row>
    <row r="44" spans="2:14" ht="12.75" customHeight="1">
      <c r="B44" s="1572"/>
      <c r="C44" s="1573"/>
      <c r="D44" s="1574"/>
      <c r="E44" s="4606"/>
      <c r="F44" s="4607"/>
      <c r="G44" s="1480" t="e">
        <f t="shared" si="0"/>
        <v>#VALUE!</v>
      </c>
      <c r="H44" s="1481" t="e">
        <f>ROUNDUP(G44,0)</f>
        <v>#VALUE!</v>
      </c>
      <c r="I44" s="1478"/>
      <c r="J44" s="1482" t="e">
        <f t="shared" si="1"/>
        <v>#VALUE!</v>
      </c>
      <c r="K44" s="1482" t="e">
        <f t="shared" si="2"/>
        <v>#VALUE!</v>
      </c>
      <c r="L44" s="4631"/>
      <c r="M44" s="4631"/>
    </row>
    <row r="45" spans="2:14" ht="12.75" customHeight="1">
      <c r="B45" s="1572"/>
      <c r="C45" s="1573"/>
      <c r="D45" s="1574"/>
      <c r="E45" s="4606"/>
      <c r="F45" s="4607"/>
      <c r="G45" s="1480" t="e">
        <f t="shared" si="0"/>
        <v>#VALUE!</v>
      </c>
      <c r="H45" s="1481" t="e">
        <f>ROUNDUP(G45,0)</f>
        <v>#VALUE!</v>
      </c>
      <c r="I45" s="1478"/>
      <c r="J45" s="1482" t="e">
        <f t="shared" si="1"/>
        <v>#VALUE!</v>
      </c>
      <c r="K45" s="1482" t="e">
        <f t="shared" si="2"/>
        <v>#VALUE!</v>
      </c>
      <c r="L45" s="4631"/>
      <c r="M45" s="4631"/>
    </row>
    <row r="46" spans="2:14" ht="12.75" customHeight="1">
      <c r="B46" s="1572"/>
      <c r="C46" s="1573"/>
      <c r="D46" s="1574"/>
      <c r="E46" s="4606"/>
      <c r="F46" s="4607"/>
      <c r="G46" s="1480" t="e">
        <f t="shared" si="0"/>
        <v>#VALUE!</v>
      </c>
      <c r="H46" s="1481" t="e">
        <f t="shared" si="3"/>
        <v>#VALUE!</v>
      </c>
      <c r="I46" s="1478"/>
      <c r="J46" s="1482" t="e">
        <f t="shared" si="1"/>
        <v>#VALUE!</v>
      </c>
      <c r="K46" s="1482" t="e">
        <f t="shared" si="2"/>
        <v>#VALUE!</v>
      </c>
      <c r="L46" s="4631"/>
      <c r="M46" s="4631"/>
    </row>
    <row r="47" spans="2:14" ht="12.75" customHeight="1">
      <c r="B47" s="1572"/>
      <c r="C47" s="1573"/>
      <c r="D47" s="1574"/>
      <c r="E47" s="4606"/>
      <c r="F47" s="4607"/>
      <c r="G47" s="1480" t="e">
        <f t="shared" si="0"/>
        <v>#VALUE!</v>
      </c>
      <c r="H47" s="1481" t="e">
        <f t="shared" si="3"/>
        <v>#VALUE!</v>
      </c>
      <c r="I47" s="1478"/>
      <c r="J47" s="1482" t="e">
        <f t="shared" si="1"/>
        <v>#VALUE!</v>
      </c>
      <c r="K47" s="1482" t="e">
        <f t="shared" si="2"/>
        <v>#VALUE!</v>
      </c>
      <c r="L47" s="4631"/>
      <c r="M47" s="4631"/>
    </row>
    <row r="48" spans="2:14" ht="12.75" customHeight="1">
      <c r="B48" s="1572"/>
      <c r="C48" s="1573"/>
      <c r="D48" s="1574"/>
      <c r="E48" s="4606"/>
      <c r="F48" s="4607"/>
      <c r="G48" s="1480" t="e">
        <f t="shared" si="0"/>
        <v>#VALUE!</v>
      </c>
      <c r="H48" s="1481" t="e">
        <f>ROUNDUP(G48,0)</f>
        <v>#VALUE!</v>
      </c>
      <c r="I48" s="1478"/>
      <c r="J48" s="1482" t="e">
        <f t="shared" si="1"/>
        <v>#VALUE!</v>
      </c>
      <c r="K48" s="1482" t="e">
        <f t="shared" si="2"/>
        <v>#VALUE!</v>
      </c>
      <c r="L48" s="4631"/>
      <c r="M48" s="4631"/>
    </row>
    <row r="49" spans="1:13" ht="12.75" customHeight="1">
      <c r="B49" s="1572"/>
      <c r="C49" s="1573"/>
      <c r="D49" s="1574"/>
      <c r="E49" s="4606"/>
      <c r="F49" s="4607"/>
      <c r="G49" s="1480" t="e">
        <f t="shared" si="0"/>
        <v>#VALUE!</v>
      </c>
      <c r="H49" s="1481" t="e">
        <f t="shared" si="3"/>
        <v>#VALUE!</v>
      </c>
      <c r="I49" s="1478"/>
      <c r="J49" s="1482" t="e">
        <f t="shared" si="1"/>
        <v>#VALUE!</v>
      </c>
      <c r="K49" s="1482" t="e">
        <f t="shared" si="2"/>
        <v>#VALUE!</v>
      </c>
      <c r="L49" s="4631"/>
      <c r="M49" s="4631"/>
    </row>
    <row r="50" spans="1:13" ht="12.75" customHeight="1">
      <c r="B50" s="1572"/>
      <c r="C50" s="1573"/>
      <c r="D50" s="1574"/>
      <c r="E50" s="4606"/>
      <c r="F50" s="4607"/>
      <c r="G50" s="1480" t="e">
        <f t="shared" si="0"/>
        <v>#VALUE!</v>
      </c>
      <c r="H50" s="1481" t="e">
        <f t="shared" si="3"/>
        <v>#VALUE!</v>
      </c>
      <c r="I50" s="1478"/>
      <c r="J50" s="1482" t="e">
        <f t="shared" si="1"/>
        <v>#VALUE!</v>
      </c>
      <c r="K50" s="1482" t="e">
        <f t="shared" si="2"/>
        <v>#VALUE!</v>
      </c>
      <c r="L50" s="4631"/>
      <c r="M50" s="4631"/>
    </row>
    <row r="51" spans="1:13" ht="12.75" customHeight="1" thickBot="1">
      <c r="B51" s="1575"/>
      <c r="C51" s="1576"/>
      <c r="D51" s="1577"/>
      <c r="E51" s="4642"/>
      <c r="F51" s="4643"/>
      <c r="G51" s="1483" t="e">
        <f t="shared" si="0"/>
        <v>#VALUE!</v>
      </c>
      <c r="H51" s="1484" t="e">
        <f t="shared" si="3"/>
        <v>#VALUE!</v>
      </c>
      <c r="I51" s="1478"/>
      <c r="J51" s="1485" t="e">
        <f t="shared" si="1"/>
        <v>#VALUE!</v>
      </c>
      <c r="K51" s="1485" t="e">
        <f t="shared" si="2"/>
        <v>#VALUE!</v>
      </c>
      <c r="L51" s="4631"/>
      <c r="M51" s="4631"/>
    </row>
    <row r="52" spans="1:13" ht="15" customHeight="1" thickBot="1">
      <c r="A52" s="1434"/>
      <c r="B52" s="1447"/>
      <c r="D52" s="1441"/>
      <c r="E52" s="1441"/>
      <c r="F52" s="1441"/>
      <c r="G52" s="1459" t="s">
        <v>4193</v>
      </c>
      <c r="H52" s="1458" t="e">
        <f>SUM(H33:H51)</f>
        <v>#VALUE!</v>
      </c>
      <c r="I52" s="1441"/>
      <c r="J52" s="1447" t="s">
        <v>4194</v>
      </c>
      <c r="K52" s="1443" t="e">
        <f>SUM(K33:K51)</f>
        <v>#VALUE!</v>
      </c>
      <c r="L52" s="4631"/>
      <c r="M52" s="4631"/>
    </row>
    <row r="53" spans="1:13" ht="15" customHeight="1">
      <c r="A53" s="1434"/>
      <c r="B53" s="1448"/>
      <c r="C53" s="4608" t="s">
        <v>4195</v>
      </c>
      <c r="D53" s="4608"/>
      <c r="E53" s="4608"/>
      <c r="F53" s="4608"/>
      <c r="G53" s="4608"/>
      <c r="H53" s="4608"/>
      <c r="I53" s="4608"/>
      <c r="J53" s="4609"/>
      <c r="K53" s="1449" t="str">
        <f>IF(J17="no",0,IF(J17="yes",J16,"Error"))</f>
        <v>Error</v>
      </c>
      <c r="L53" s="4631"/>
      <c r="M53" s="4631"/>
    </row>
    <row r="54" spans="1:13" ht="15" customHeight="1" thickBot="1">
      <c r="A54" s="1434"/>
      <c r="B54" s="1448"/>
      <c r="C54" s="4610" t="s">
        <v>4196</v>
      </c>
      <c r="D54" s="4610"/>
      <c r="E54" s="4610"/>
      <c r="F54" s="4610"/>
      <c r="G54" s="4610"/>
      <c r="H54" s="4610"/>
      <c r="I54" s="4610"/>
      <c r="J54" s="4611"/>
      <c r="K54" s="1461" t="e">
        <f>K52+K53</f>
        <v>#VALUE!</v>
      </c>
    </row>
    <row r="55" spans="1:13" ht="7.9" customHeight="1">
      <c r="A55" s="4612"/>
      <c r="B55" s="4613"/>
      <c r="C55" s="4613"/>
      <c r="D55" s="4613"/>
      <c r="E55" s="4613"/>
      <c r="F55" s="4613"/>
      <c r="G55" s="4613"/>
      <c r="H55" s="4613"/>
      <c r="I55" s="4613"/>
      <c r="J55" s="4613"/>
      <c r="K55" s="1475"/>
    </row>
    <row r="56" spans="1:13" ht="15" customHeight="1">
      <c r="A56" s="4618" t="s">
        <v>4197</v>
      </c>
      <c r="B56" s="4619"/>
      <c r="C56" s="4619"/>
      <c r="D56" s="4619"/>
      <c r="E56" s="4619"/>
      <c r="F56" s="4619"/>
      <c r="G56" s="4619"/>
      <c r="H56" s="4619"/>
      <c r="I56" s="4619"/>
      <c r="J56" s="4619"/>
      <c r="K56" s="4620"/>
    </row>
    <row r="57" spans="1:13" ht="48" customHeight="1">
      <c r="A57" s="1431"/>
      <c r="B57" s="1422"/>
      <c r="C57" s="1433" t="s">
        <v>4198</v>
      </c>
      <c r="D57" s="1555" t="s">
        <v>6273</v>
      </c>
      <c r="E57" s="4614" t="s">
        <v>4214</v>
      </c>
      <c r="F57" s="4615"/>
      <c r="G57" s="4616" t="s">
        <v>4199</v>
      </c>
      <c r="H57" s="4617"/>
      <c r="I57" s="4614" t="s">
        <v>4213</v>
      </c>
      <c r="J57" s="4615"/>
      <c r="K57" s="4621"/>
    </row>
    <row r="58" spans="1:13" ht="15" customHeight="1">
      <c r="A58" s="1532"/>
      <c r="B58" s="1552"/>
      <c r="C58" s="1444">
        <f>SUMIF(C33:C51, "0", H33:H51)</f>
        <v>0</v>
      </c>
      <c r="D58" s="1556">
        <f t="shared" ref="D58:D63" si="4">ROUNDUP(C58*1.1,0)</f>
        <v>0</v>
      </c>
      <c r="E58" s="4623" t="s">
        <v>4200</v>
      </c>
      <c r="F58" s="4624"/>
      <c r="G58" s="4625">
        <v>153314.4</v>
      </c>
      <c r="H58" s="4626"/>
      <c r="I58" s="4627">
        <f t="shared" ref="I58:I63" si="5">D58*G58</f>
        <v>0</v>
      </c>
      <c r="J58" s="4627"/>
      <c r="K58" s="4622"/>
    </row>
    <row r="59" spans="1:13">
      <c r="A59" s="1532"/>
      <c r="B59" s="1552"/>
      <c r="C59" s="1445">
        <f>SUMIF(C33:C51, "1", H33:H51)</f>
        <v>0</v>
      </c>
      <c r="D59" s="1557">
        <f t="shared" si="4"/>
        <v>0</v>
      </c>
      <c r="E59" s="4628" t="s">
        <v>2559</v>
      </c>
      <c r="F59" s="4629"/>
      <c r="G59" s="4592">
        <v>175752</v>
      </c>
      <c r="H59" s="4593"/>
      <c r="I59" s="4630">
        <f t="shared" si="5"/>
        <v>0</v>
      </c>
      <c r="J59" s="4630"/>
      <c r="K59" s="4622"/>
    </row>
    <row r="60" spans="1:13" ht="15" customHeight="1">
      <c r="A60" s="1532"/>
      <c r="B60" s="1552"/>
      <c r="C60" s="1445">
        <f>SUMIF(C33:C51, "2", H33:H51)</f>
        <v>0</v>
      </c>
      <c r="D60" s="1557">
        <f t="shared" si="4"/>
        <v>0</v>
      </c>
      <c r="E60" s="4628" t="s">
        <v>2560</v>
      </c>
      <c r="F60" s="4629"/>
      <c r="G60" s="4592">
        <v>213717.6</v>
      </c>
      <c r="H60" s="4593"/>
      <c r="I60" s="4630">
        <f t="shared" si="5"/>
        <v>0</v>
      </c>
      <c r="J60" s="4630"/>
      <c r="K60" s="4622"/>
    </row>
    <row r="61" spans="1:13">
      <c r="A61" s="1532"/>
      <c r="B61" s="1552"/>
      <c r="C61" s="1445">
        <f>SUMIF(C33:C51, "3", H33:H51)</f>
        <v>0</v>
      </c>
      <c r="D61" s="1557">
        <f t="shared" si="4"/>
        <v>0</v>
      </c>
      <c r="E61" s="4628" t="s">
        <v>2563</v>
      </c>
      <c r="F61" s="4629"/>
      <c r="G61" s="4592">
        <v>276482.40000000002</v>
      </c>
      <c r="H61" s="4593"/>
      <c r="I61" s="4630">
        <f t="shared" si="5"/>
        <v>0</v>
      </c>
      <c r="J61" s="4630"/>
      <c r="K61" s="4622"/>
    </row>
    <row r="62" spans="1:13">
      <c r="A62" s="1532"/>
      <c r="B62" s="1552"/>
      <c r="C62" s="1445">
        <f>SUMIF(C33:C51, "4", H33:H51)</f>
        <v>0</v>
      </c>
      <c r="D62" s="1557">
        <f t="shared" si="4"/>
        <v>0</v>
      </c>
      <c r="E62" s="4628" t="s">
        <v>4201</v>
      </c>
      <c r="F62" s="4629"/>
      <c r="G62" s="4592">
        <v>303489.59999999998</v>
      </c>
      <c r="H62" s="4593"/>
      <c r="I62" s="4630">
        <f t="shared" si="5"/>
        <v>0</v>
      </c>
      <c r="J62" s="4630"/>
      <c r="K62" s="4622"/>
    </row>
    <row r="63" spans="1:13">
      <c r="A63" s="1553"/>
      <c r="B63" s="1554"/>
      <c r="C63" s="1446">
        <f>SUMIF(C33:C51, "5", H33:H51)</f>
        <v>0</v>
      </c>
      <c r="D63" s="1558">
        <f t="shared" si="4"/>
        <v>0</v>
      </c>
      <c r="E63" s="4637" t="s">
        <v>4202</v>
      </c>
      <c r="F63" s="4638"/>
      <c r="G63" s="4639">
        <v>303489.59999999998</v>
      </c>
      <c r="H63" s="4640"/>
      <c r="I63" s="4641">
        <f t="shared" si="5"/>
        <v>0</v>
      </c>
      <c r="J63" s="4641"/>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13"/>
      <c r="B65" s="4613"/>
      <c r="C65" s="4613"/>
      <c r="D65" s="4613"/>
      <c r="E65" s="4613"/>
      <c r="F65" s="4613"/>
      <c r="G65" s="4613"/>
      <c r="H65" s="4613"/>
      <c r="I65" s="4613"/>
      <c r="J65" s="4613"/>
    </row>
    <row r="66" spans="1:11">
      <c r="A66" s="4618" t="s">
        <v>4205</v>
      </c>
      <c r="B66" s="4619"/>
      <c r="C66" s="4619"/>
      <c r="D66" s="4619"/>
      <c r="E66" s="4619"/>
      <c r="F66" s="4619"/>
      <c r="G66" s="4619"/>
      <c r="H66" s="4619"/>
      <c r="I66" s="4619"/>
      <c r="J66" s="4619"/>
      <c r="K66" s="4620"/>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2" t="s">
        <v>4209</v>
      </c>
      <c r="D70" s="4632"/>
      <c r="E70" s="4632"/>
      <c r="F70" s="4632"/>
      <c r="G70" s="4632"/>
      <c r="H70" s="4632"/>
      <c r="I70" s="4632"/>
      <c r="J70" s="4632"/>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Dunbar Court</v>
      </c>
    </row>
    <row r="2" spans="1:11">
      <c r="A2" s="636" t="s">
        <v>3002</v>
      </c>
      <c r="H2" s="699" t="str">
        <f>'Sensitivity Analysis'!E8</f>
        <v>2021-014</v>
      </c>
    </row>
    <row r="3" spans="1:11" ht="3" customHeight="1"/>
    <row r="4" spans="1:11" ht="51.75" customHeight="1">
      <c r="A4" s="4660" t="s">
        <v>3098</v>
      </c>
      <c r="B4" s="4660"/>
      <c r="C4" s="4660"/>
      <c r="D4" s="4660"/>
      <c r="E4" s="4660"/>
      <c r="F4" s="4660"/>
      <c r="G4" s="4660"/>
      <c r="H4" s="4660"/>
      <c r="J4" s="1077">
        <f>SUM('Part VII-Pro Forma'!B15:B17)/12</f>
        <v>26883.323999999997</v>
      </c>
      <c r="K4" s="1076" t="s">
        <v>3817</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3" t="s">
        <v>3095</v>
      </c>
      <c r="C11" s="4663"/>
      <c r="D11" s="4663"/>
      <c r="E11" s="4663"/>
      <c r="F11" s="4663"/>
      <c r="G11" s="4664">
        <f>'Part III-Sources of Funds'!I51+'Part III-Sources of Funds'!I52</f>
        <v>11159235</v>
      </c>
      <c r="H11" s="4664"/>
    </row>
    <row r="12" spans="1:11" ht="1.5" customHeight="1">
      <c r="G12" s="712"/>
      <c r="H12" s="712"/>
    </row>
    <row r="13" spans="1:11" ht="26.25" customHeight="1">
      <c r="A13" s="743" t="s">
        <v>1895</v>
      </c>
      <c r="B13" s="4663" t="s">
        <v>3096</v>
      </c>
      <c r="C13" s="4663"/>
      <c r="D13" s="4663"/>
      <c r="E13" s="4663"/>
      <c r="F13" s="4663"/>
      <c r="G13" s="4665" t="s">
        <v>2933</v>
      </c>
      <c r="H13" s="4665"/>
    </row>
    <row r="14" spans="1:11" ht="12" hidden="1" customHeight="1">
      <c r="A14" s="743"/>
      <c r="B14" s="4492"/>
      <c r="C14" s="4492"/>
      <c r="D14" s="4492"/>
      <c r="E14" s="4492"/>
      <c r="F14" s="4492"/>
      <c r="G14" s="4492"/>
      <c r="H14" s="4492"/>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92" t="s">
        <v>2625</v>
      </c>
      <c r="H18" s="4492"/>
    </row>
    <row r="19" spans="1:8" ht="12" hidden="1" customHeight="1">
      <c r="B19" s="4492"/>
      <c r="C19" s="4492"/>
      <c r="D19" s="4492"/>
      <c r="E19" s="4492"/>
      <c r="F19" s="4492"/>
      <c r="G19" s="4492"/>
      <c r="H19" s="4492"/>
    </row>
    <row r="20" spans="1:8" ht="13.5" customHeight="1"/>
    <row r="21" spans="1:8" ht="12" customHeight="1">
      <c r="A21" s="636" t="s">
        <v>3006</v>
      </c>
    </row>
    <row r="22" spans="1:8" ht="3" customHeight="1"/>
    <row r="23" spans="1:8" ht="24.75" customHeight="1">
      <c r="A23" s="4667" t="s">
        <v>4291</v>
      </c>
      <c r="B23" s="4667"/>
      <c r="C23" s="4667"/>
      <c r="D23" s="4667"/>
      <c r="E23" s="4667"/>
      <c r="F23" s="4667"/>
      <c r="G23" s="4667"/>
      <c r="H23" s="4667"/>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66" t="s">
        <v>4296</v>
      </c>
      <c r="B27" s="4666"/>
      <c r="C27" s="4666"/>
      <c r="D27" s="4666"/>
      <c r="E27" s="4666"/>
      <c r="F27" s="4666"/>
      <c r="G27" s="4666"/>
      <c r="H27" s="4666"/>
    </row>
    <row r="28" spans="1:8" ht="9" customHeight="1">
      <c r="A28" s="702"/>
    </row>
    <row r="29" spans="1:8">
      <c r="A29" s="717" t="s">
        <v>3100</v>
      </c>
      <c r="B29" s="744" t="str">
        <f>IF('Part VI-Revenues &amp; Expenses'!$K$62=0,"",'Part VI-Revenues &amp; Expenses'!$K$62)</f>
        <v/>
      </c>
      <c r="C29" s="717" t="s">
        <v>4289</v>
      </c>
      <c r="D29" s="745" t="s">
        <v>4290</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4294</v>
      </c>
      <c r="E33" s="4660" t="s">
        <v>3243</v>
      </c>
      <c r="F33" s="4660"/>
      <c r="G33" s="4660"/>
      <c r="H33" s="4660"/>
    </row>
    <row r="34" spans="1:11" ht="12.75" customHeight="1">
      <c r="C34" s="1515"/>
      <c r="D34" s="1513" t="s">
        <v>3104</v>
      </c>
      <c r="E34" s="4662" t="s">
        <v>3244</v>
      </c>
      <c r="F34" s="4662"/>
      <c r="G34" s="4662"/>
      <c r="H34" s="4662"/>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4294</v>
      </c>
      <c r="E38" s="4660" t="s">
        <v>3243</v>
      </c>
      <c r="F38" s="4660"/>
      <c r="G38" s="4660"/>
      <c r="H38" s="4660"/>
    </row>
    <row r="39" spans="1:11" ht="12.75" customHeight="1">
      <c r="C39" s="1515"/>
      <c r="D39" s="1513" t="s">
        <v>3104</v>
      </c>
      <c r="E39" s="4662" t="s">
        <v>3244</v>
      </c>
      <c r="F39" s="4662"/>
      <c r="G39" s="4662"/>
      <c r="H39" s="4662"/>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4294</v>
      </c>
      <c r="E43" s="4660" t="s">
        <v>3243</v>
      </c>
      <c r="F43" s="4660"/>
      <c r="G43" s="4660"/>
      <c r="H43" s="4660"/>
    </row>
    <row r="44" spans="1:11" ht="12.75" customHeight="1">
      <c r="C44" s="1515"/>
      <c r="D44" s="1513" t="s">
        <v>3104</v>
      </c>
      <c r="E44" s="4662" t="s">
        <v>3244</v>
      </c>
      <c r="F44" s="4662"/>
      <c r="G44" s="4662"/>
      <c r="H44" s="4662"/>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4294</v>
      </c>
      <c r="E50" s="4660" t="s">
        <v>3243</v>
      </c>
      <c r="F50" s="4660"/>
      <c r="G50" s="4660"/>
      <c r="H50" s="4660"/>
    </row>
    <row r="51" spans="1:11" ht="12.75" customHeight="1">
      <c r="C51" s="1515"/>
      <c r="D51" s="1512" t="s">
        <v>3104</v>
      </c>
      <c r="E51" s="4661" t="s">
        <v>3244</v>
      </c>
      <c r="F51" s="4661"/>
      <c r="G51" s="4661"/>
      <c r="H51" s="4661"/>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4294</v>
      </c>
      <c r="E55" s="4660" t="s">
        <v>3243</v>
      </c>
      <c r="F55" s="4660"/>
      <c r="G55" s="4660"/>
      <c r="H55" s="4660"/>
    </row>
    <row r="56" spans="1:11" ht="12.75" customHeight="1">
      <c r="C56" s="1515"/>
      <c r="D56" s="1513" t="s">
        <v>3104</v>
      </c>
      <c r="E56" s="4662" t="s">
        <v>3244</v>
      </c>
      <c r="F56" s="4662"/>
      <c r="G56" s="4662"/>
      <c r="H56" s="4662"/>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4294</v>
      </c>
      <c r="E60" s="4660" t="s">
        <v>3243</v>
      </c>
      <c r="F60" s="4660"/>
      <c r="G60" s="4660"/>
      <c r="H60" s="4660"/>
    </row>
    <row r="61" spans="1:11" ht="12.75" customHeight="1">
      <c r="C61" s="1515"/>
      <c r="D61" s="1513" t="s">
        <v>3104</v>
      </c>
      <c r="E61" s="4662" t="s">
        <v>3244</v>
      </c>
      <c r="F61" s="4662"/>
      <c r="G61" s="4662"/>
      <c r="H61" s="4662"/>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4294</v>
      </c>
      <c r="E67" s="4660" t="s">
        <v>3243</v>
      </c>
      <c r="F67" s="4660"/>
      <c r="G67" s="4660"/>
      <c r="H67" s="4660"/>
    </row>
    <row r="68" spans="1:8" ht="12.75" customHeight="1">
      <c r="C68" s="1515"/>
      <c r="D68" s="1512" t="s">
        <v>3104</v>
      </c>
      <c r="E68" s="4661" t="s">
        <v>3244</v>
      </c>
      <c r="F68" s="4661"/>
      <c r="G68" s="4661"/>
      <c r="H68" s="4661"/>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4294</v>
      </c>
      <c r="E72" s="4660" t="s">
        <v>3243</v>
      </c>
      <c r="F72" s="4660"/>
      <c r="G72" s="4660"/>
      <c r="H72" s="4660"/>
    </row>
    <row r="73" spans="1:8" ht="12.75" customHeight="1">
      <c r="C73" s="1515"/>
      <c r="D73" s="1513" t="s">
        <v>3104</v>
      </c>
      <c r="E73" s="4662" t="s">
        <v>3244</v>
      </c>
      <c r="F73" s="4662"/>
      <c r="G73" s="4662"/>
      <c r="H73" s="4662"/>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4294</v>
      </c>
      <c r="E77" s="4660" t="s">
        <v>3243</v>
      </c>
      <c r="F77" s="4660"/>
      <c r="G77" s="4660"/>
      <c r="H77" s="4660"/>
    </row>
    <row r="78" spans="1:8" ht="12.75" customHeight="1">
      <c r="C78" s="1515"/>
      <c r="D78" s="1513" t="s">
        <v>3104</v>
      </c>
      <c r="E78" s="4662" t="s">
        <v>3244</v>
      </c>
      <c r="F78" s="4662"/>
      <c r="G78" s="4662"/>
      <c r="H78" s="4662"/>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4294</v>
      </c>
      <c r="E84" s="4660" t="s">
        <v>3243</v>
      </c>
      <c r="F84" s="4660"/>
      <c r="G84" s="4660"/>
      <c r="H84" s="4660"/>
    </row>
    <row r="85" spans="3:8" ht="12.75" customHeight="1">
      <c r="C85" s="1515"/>
      <c r="D85" s="1512" t="s">
        <v>3104</v>
      </c>
      <c r="E85" s="4661" t="s">
        <v>3244</v>
      </c>
      <c r="F85" s="4661"/>
      <c r="G85" s="4661"/>
      <c r="H85" s="4661"/>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4294</v>
      </c>
      <c r="E89" s="4660" t="s">
        <v>3243</v>
      </c>
      <c r="F89" s="4660"/>
      <c r="G89" s="4660"/>
      <c r="H89" s="4660"/>
    </row>
    <row r="90" spans="3:8" ht="12.75" customHeight="1">
      <c r="C90" s="1515"/>
      <c r="D90" s="1513" t="s">
        <v>3104</v>
      </c>
      <c r="E90" s="4662" t="s">
        <v>3244</v>
      </c>
      <c r="F90" s="4662"/>
      <c r="G90" s="4662"/>
      <c r="H90" s="4662"/>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4294</v>
      </c>
      <c r="E94" s="4660" t="s">
        <v>3243</v>
      </c>
      <c r="F94" s="4660"/>
      <c r="G94" s="4660"/>
      <c r="H94" s="4660"/>
    </row>
    <row r="95" spans="3:8" ht="12.75" customHeight="1">
      <c r="C95" s="1515"/>
      <c r="D95" s="1513" t="s">
        <v>3104</v>
      </c>
      <c r="E95" s="4662" t="s">
        <v>3244</v>
      </c>
      <c r="F95" s="4662"/>
      <c r="G95" s="4662"/>
      <c r="H95" s="4662"/>
    </row>
    <row r="96" spans="3:8" ht="6" customHeight="1">
      <c r="D96" s="746"/>
      <c r="E96" s="1511"/>
      <c r="F96" s="1511"/>
      <c r="G96" s="1511"/>
      <c r="H96" s="1511"/>
    </row>
    <row r="97" spans="1:11">
      <c r="A97" s="717" t="s">
        <v>3100</v>
      </c>
      <c r="B97" s="744" t="str">
        <f>IF('Part VI-Revenues &amp; Expenses'!$O$62=0,"",'Part VI-Revenues &amp; Expenses'!$O$62)</f>
        <v/>
      </c>
      <c r="C97" s="717" t="s">
        <v>4292</v>
      </c>
      <c r="D97" s="745" t="s">
        <v>4293</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3243</v>
      </c>
      <c r="F101" s="4660"/>
      <c r="G101" s="4660"/>
      <c r="H101" s="4660"/>
    </row>
    <row r="102" spans="1:11" ht="12.75" customHeight="1">
      <c r="D102" s="749" t="s">
        <v>3104</v>
      </c>
      <c r="E102" s="4660" t="s">
        <v>3244</v>
      </c>
      <c r="F102" s="4660"/>
      <c r="G102" s="4660"/>
      <c r="H102" s="4660"/>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66" t="s">
        <v>4297</v>
      </c>
      <c r="B106" s="4666"/>
      <c r="C106" s="4666"/>
      <c r="D106" s="4666"/>
      <c r="E106" s="4666"/>
      <c r="F106" s="4666"/>
      <c r="G106" s="4666"/>
      <c r="H106" s="4666"/>
    </row>
    <row r="107" spans="1:11" ht="9" customHeight="1">
      <c r="A107" s="702"/>
    </row>
    <row r="108" spans="1:11">
      <c r="A108" s="717" t="s">
        <v>3100</v>
      </c>
      <c r="B108" s="744" t="str">
        <f>IF('Part VI-Revenues &amp; Expenses'!$K$61=0,"",'Part VI-Revenues &amp; Expenses'!$K$61)</f>
        <v/>
      </c>
      <c r="C108" s="717" t="s">
        <v>4289</v>
      </c>
      <c r="D108" s="745" t="s">
        <v>4290</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4294</v>
      </c>
      <c r="E112" s="4660" t="s">
        <v>3243</v>
      </c>
      <c r="F112" s="4660"/>
      <c r="G112" s="4660"/>
      <c r="H112" s="4660"/>
    </row>
    <row r="113" spans="1:8" ht="12.75" customHeight="1">
      <c r="C113" s="1515"/>
      <c r="D113" s="1513" t="s">
        <v>3104</v>
      </c>
      <c r="E113" s="4662" t="s">
        <v>3244</v>
      </c>
      <c r="F113" s="4662"/>
      <c r="G113" s="4662"/>
      <c r="H113" s="4662"/>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4294</v>
      </c>
      <c r="E117" s="4660" t="s">
        <v>3243</v>
      </c>
      <c r="F117" s="4660"/>
      <c r="G117" s="4660"/>
      <c r="H117" s="4660"/>
    </row>
    <row r="118" spans="1:8" ht="12.75" customHeight="1">
      <c r="C118" s="1515"/>
      <c r="D118" s="1513" t="s">
        <v>3104</v>
      </c>
      <c r="E118" s="4662" t="s">
        <v>3244</v>
      </c>
      <c r="F118" s="4662"/>
      <c r="G118" s="4662"/>
      <c r="H118" s="4662"/>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4294</v>
      </c>
      <c r="E122" s="4660" t="s">
        <v>3243</v>
      </c>
      <c r="F122" s="4660"/>
      <c r="G122" s="4660"/>
      <c r="H122" s="4660"/>
    </row>
    <row r="123" spans="1:8" ht="12.75" customHeight="1">
      <c r="C123" s="1515"/>
      <c r="D123" s="1513" t="s">
        <v>3104</v>
      </c>
      <c r="E123" s="4662" t="s">
        <v>3244</v>
      </c>
      <c r="F123" s="4662"/>
      <c r="G123" s="4662"/>
      <c r="H123" s="4662"/>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4294</v>
      </c>
      <c r="E129" s="4660" t="s">
        <v>3243</v>
      </c>
      <c r="F129" s="4660"/>
      <c r="G129" s="4660"/>
      <c r="H129" s="4660"/>
    </row>
    <row r="130" spans="1:8" ht="12.75" customHeight="1">
      <c r="C130" s="1515"/>
      <c r="D130" s="1512" t="s">
        <v>3104</v>
      </c>
      <c r="E130" s="4661" t="s">
        <v>3244</v>
      </c>
      <c r="F130" s="4661"/>
      <c r="G130" s="4661"/>
      <c r="H130" s="4661"/>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4294</v>
      </c>
      <c r="E134" s="4660" t="s">
        <v>3243</v>
      </c>
      <c r="F134" s="4660"/>
      <c r="G134" s="4660"/>
      <c r="H134" s="4660"/>
    </row>
    <row r="135" spans="1:8" ht="12.75" customHeight="1">
      <c r="C135" s="1515"/>
      <c r="D135" s="1513" t="s">
        <v>3104</v>
      </c>
      <c r="E135" s="4662" t="s">
        <v>3244</v>
      </c>
      <c r="F135" s="4662"/>
      <c r="G135" s="4662"/>
      <c r="H135" s="4662"/>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4294</v>
      </c>
      <c r="E139" s="4660" t="s">
        <v>3243</v>
      </c>
      <c r="F139" s="4660"/>
      <c r="G139" s="4660"/>
      <c r="H139" s="4660"/>
    </row>
    <row r="140" spans="1:8" ht="12.75" customHeight="1">
      <c r="C140" s="1515"/>
      <c r="D140" s="1513" t="s">
        <v>3104</v>
      </c>
      <c r="E140" s="4662" t="s">
        <v>3244</v>
      </c>
      <c r="F140" s="4662"/>
      <c r="G140" s="4662"/>
      <c r="H140" s="4662"/>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4294</v>
      </c>
      <c r="E146" s="4660" t="s">
        <v>3243</v>
      </c>
      <c r="F146" s="4660"/>
      <c r="G146" s="4660"/>
      <c r="H146" s="4660"/>
    </row>
    <row r="147" spans="1:8" ht="12.75" customHeight="1">
      <c r="C147" s="1515"/>
      <c r="D147" s="1512" t="s">
        <v>3104</v>
      </c>
      <c r="E147" s="4661" t="s">
        <v>3244</v>
      </c>
      <c r="F147" s="4661"/>
      <c r="G147" s="4661"/>
      <c r="H147" s="4661"/>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4294</v>
      </c>
      <c r="E151" s="4660" t="s">
        <v>3243</v>
      </c>
      <c r="F151" s="4660"/>
      <c r="G151" s="4660"/>
      <c r="H151" s="4660"/>
    </row>
    <row r="152" spans="1:8" ht="12.75" customHeight="1">
      <c r="C152" s="1515"/>
      <c r="D152" s="1513" t="s">
        <v>3104</v>
      </c>
      <c r="E152" s="4662" t="s">
        <v>3244</v>
      </c>
      <c r="F152" s="4662"/>
      <c r="G152" s="4662"/>
      <c r="H152" s="4662"/>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4294</v>
      </c>
      <c r="E156" s="4660" t="s">
        <v>3243</v>
      </c>
      <c r="F156" s="4660"/>
      <c r="G156" s="4660"/>
      <c r="H156" s="4660"/>
    </row>
    <row r="157" spans="1:8" ht="12.75" customHeight="1">
      <c r="C157" s="1515"/>
      <c r="D157" s="1513" t="s">
        <v>3104</v>
      </c>
      <c r="E157" s="4662" t="s">
        <v>3244</v>
      </c>
      <c r="F157" s="4662"/>
      <c r="G157" s="4662"/>
      <c r="H157" s="4662"/>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4294</v>
      </c>
      <c r="E163" s="4660" t="s">
        <v>3243</v>
      </c>
      <c r="F163" s="4660"/>
      <c r="G163" s="4660"/>
      <c r="H163" s="4660"/>
    </row>
    <row r="164" spans="1:8" ht="12.75" customHeight="1">
      <c r="C164" s="1515"/>
      <c r="D164" s="1512" t="s">
        <v>3104</v>
      </c>
      <c r="E164" s="4661" t="s">
        <v>3244</v>
      </c>
      <c r="F164" s="4661"/>
      <c r="G164" s="4661"/>
      <c r="H164" s="4661"/>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4294</v>
      </c>
      <c r="E168" s="4660" t="s">
        <v>3243</v>
      </c>
      <c r="F168" s="4660"/>
      <c r="G168" s="4660"/>
      <c r="H168" s="4660"/>
    </row>
    <row r="169" spans="1:8" ht="12.75" customHeight="1">
      <c r="C169" s="1515"/>
      <c r="D169" s="1513" t="s">
        <v>3104</v>
      </c>
      <c r="E169" s="4662" t="s">
        <v>3244</v>
      </c>
      <c r="F169" s="4662"/>
      <c r="G169" s="4662"/>
      <c r="H169" s="4662"/>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4294</v>
      </c>
      <c r="E173" s="4660" t="s">
        <v>3243</v>
      </c>
      <c r="F173" s="4660"/>
      <c r="G173" s="4660"/>
      <c r="H173" s="4660"/>
    </row>
    <row r="174" spans="1:8" ht="12.75" customHeight="1">
      <c r="C174" s="1515"/>
      <c r="D174" s="1513" t="s">
        <v>3104</v>
      </c>
      <c r="E174" s="4662" t="s">
        <v>3244</v>
      </c>
      <c r="F174" s="4662"/>
      <c r="G174" s="4662"/>
      <c r="H174" s="4662"/>
    </row>
    <row r="175" spans="1:8" ht="6" customHeight="1">
      <c r="D175" s="746"/>
      <c r="E175" s="1511"/>
      <c r="F175" s="1511"/>
      <c r="G175" s="1511"/>
      <c r="H175" s="1511"/>
    </row>
    <row r="176" spans="1:8">
      <c r="A176" s="717" t="s">
        <v>3100</v>
      </c>
      <c r="B176" s="744" t="str">
        <f>IF('Part VI-Revenues &amp; Expenses'!$O61=0,"",'Part VI-Revenues &amp; Expenses'!$O$61)</f>
        <v/>
      </c>
      <c r="C176" s="717" t="s">
        <v>4292</v>
      </c>
      <c r="D176" s="745" t="s">
        <v>4293</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3243</v>
      </c>
      <c r="F180" s="4660"/>
      <c r="G180" s="4660"/>
      <c r="H180" s="4660"/>
    </row>
    <row r="181" spans="1:11" ht="12.75" customHeight="1">
      <c r="D181" s="749" t="s">
        <v>3104</v>
      </c>
      <c r="E181" s="4660" t="s">
        <v>3244</v>
      </c>
      <c r="F181" s="4660"/>
      <c r="G181" s="4660"/>
      <c r="H181" s="4660"/>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66" t="s">
        <v>4298</v>
      </c>
      <c r="B185" s="4666"/>
      <c r="C185" s="4666"/>
      <c r="D185" s="4666"/>
      <c r="E185" s="4666"/>
      <c r="F185" s="4666"/>
      <c r="G185" s="4666"/>
      <c r="H185" s="4666"/>
    </row>
    <row r="186" spans="1:11" ht="9" customHeight="1">
      <c r="A186" s="702"/>
    </row>
    <row r="187" spans="1:11">
      <c r="A187" s="717" t="s">
        <v>3100</v>
      </c>
      <c r="B187" s="744" t="str">
        <f>IF('Part VI-Revenues &amp; Expenses'!$K$60=0,"",'Part VI-Revenues &amp; Expenses'!$K$60)</f>
        <v/>
      </c>
      <c r="C187" s="717" t="s">
        <v>4289</v>
      </c>
      <c r="D187" s="745" t="s">
        <v>4290</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4294</v>
      </c>
      <c r="E191" s="4660" t="s">
        <v>3243</v>
      </c>
      <c r="F191" s="4660"/>
      <c r="G191" s="4660"/>
      <c r="H191" s="4660"/>
    </row>
    <row r="192" spans="1:11" ht="12.75" customHeight="1">
      <c r="C192" s="1515"/>
      <c r="D192" s="1513" t="s">
        <v>3104</v>
      </c>
      <c r="E192" s="4662" t="s">
        <v>3244</v>
      </c>
      <c r="F192" s="4662"/>
      <c r="G192" s="4662"/>
      <c r="H192" s="4662"/>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4294</v>
      </c>
      <c r="E196" s="4660" t="s">
        <v>3243</v>
      </c>
      <c r="F196" s="4660"/>
      <c r="G196" s="4660"/>
      <c r="H196" s="4660"/>
    </row>
    <row r="197" spans="1:8" ht="12.75" customHeight="1">
      <c r="C197" s="1515"/>
      <c r="D197" s="1513" t="s">
        <v>3104</v>
      </c>
      <c r="E197" s="4662" t="s">
        <v>3244</v>
      </c>
      <c r="F197" s="4662"/>
      <c r="G197" s="4662"/>
      <c r="H197" s="4662"/>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4294</v>
      </c>
      <c r="E201" s="4660" t="s">
        <v>3243</v>
      </c>
      <c r="F201" s="4660"/>
      <c r="G201" s="4660"/>
      <c r="H201" s="4660"/>
    </row>
    <row r="202" spans="1:8" ht="12.75" customHeight="1">
      <c r="C202" s="1515"/>
      <c r="D202" s="1513" t="s">
        <v>3104</v>
      </c>
      <c r="E202" s="4662" t="s">
        <v>3244</v>
      </c>
      <c r="F202" s="4662"/>
      <c r="G202" s="4662"/>
      <c r="H202" s="4662"/>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4294</v>
      </c>
      <c r="E208" s="4660" t="s">
        <v>3243</v>
      </c>
      <c r="F208" s="4660"/>
      <c r="G208" s="4660"/>
      <c r="H208" s="4660"/>
    </row>
    <row r="209" spans="1:8" ht="12.75" customHeight="1">
      <c r="C209" s="1515"/>
      <c r="D209" s="1512" t="s">
        <v>3104</v>
      </c>
      <c r="E209" s="4661" t="s">
        <v>3244</v>
      </c>
      <c r="F209" s="4661"/>
      <c r="G209" s="4661"/>
      <c r="H209" s="4661"/>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4294</v>
      </c>
      <c r="E213" s="4660" t="s">
        <v>3243</v>
      </c>
      <c r="F213" s="4660"/>
      <c r="G213" s="4660"/>
      <c r="H213" s="4660"/>
    </row>
    <row r="214" spans="1:8" ht="12.75" customHeight="1">
      <c r="C214" s="1515"/>
      <c r="D214" s="1513" t="s">
        <v>3104</v>
      </c>
      <c r="E214" s="4662" t="s">
        <v>3244</v>
      </c>
      <c r="F214" s="4662"/>
      <c r="G214" s="4662"/>
      <c r="H214" s="4662"/>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4294</v>
      </c>
      <c r="E218" s="4660" t="s">
        <v>3243</v>
      </c>
      <c r="F218" s="4660"/>
      <c r="G218" s="4660"/>
      <c r="H218" s="4660"/>
    </row>
    <row r="219" spans="1:8" ht="12.75" customHeight="1">
      <c r="C219" s="1515"/>
      <c r="D219" s="1513" t="s">
        <v>3104</v>
      </c>
      <c r="E219" s="4662" t="s">
        <v>3244</v>
      </c>
      <c r="F219" s="4662"/>
      <c r="G219" s="4662"/>
      <c r="H219" s="4662"/>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4294</v>
      </c>
      <c r="E225" s="4660" t="s">
        <v>3243</v>
      </c>
      <c r="F225" s="4660"/>
      <c r="G225" s="4660"/>
      <c r="H225" s="4660"/>
    </row>
    <row r="226" spans="1:8" ht="12.75" customHeight="1">
      <c r="C226" s="1515"/>
      <c r="D226" s="1512" t="s">
        <v>3104</v>
      </c>
      <c r="E226" s="4661" t="s">
        <v>3244</v>
      </c>
      <c r="F226" s="4661"/>
      <c r="G226" s="4661"/>
      <c r="H226" s="4661"/>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4294</v>
      </c>
      <c r="E230" s="4660" t="s">
        <v>3243</v>
      </c>
      <c r="F230" s="4660"/>
      <c r="G230" s="4660"/>
      <c r="H230" s="4660"/>
    </row>
    <row r="231" spans="1:8" ht="12.75" customHeight="1">
      <c r="C231" s="1515"/>
      <c r="D231" s="1513" t="s">
        <v>3104</v>
      </c>
      <c r="E231" s="4662" t="s">
        <v>3244</v>
      </c>
      <c r="F231" s="4662"/>
      <c r="G231" s="4662"/>
      <c r="H231" s="4662"/>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4294</v>
      </c>
      <c r="E235" s="4660" t="s">
        <v>3243</v>
      </c>
      <c r="F235" s="4660"/>
      <c r="G235" s="4660"/>
      <c r="H235" s="4660"/>
    </row>
    <row r="236" spans="1:8" ht="12.75" customHeight="1">
      <c r="C236" s="1515"/>
      <c r="D236" s="1513" t="s">
        <v>3104</v>
      </c>
      <c r="E236" s="4662" t="s">
        <v>3244</v>
      </c>
      <c r="F236" s="4662"/>
      <c r="G236" s="4662"/>
      <c r="H236" s="4662"/>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4294</v>
      </c>
      <c r="E242" s="4660" t="s">
        <v>3243</v>
      </c>
      <c r="F242" s="4660"/>
      <c r="G242" s="4660"/>
      <c r="H242" s="4660"/>
    </row>
    <row r="243" spans="1:8" ht="12.75" customHeight="1">
      <c r="C243" s="1515"/>
      <c r="D243" s="1512" t="s">
        <v>3104</v>
      </c>
      <c r="E243" s="4661" t="s">
        <v>3244</v>
      </c>
      <c r="F243" s="4661"/>
      <c r="G243" s="4661"/>
      <c r="H243" s="4661"/>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4294</v>
      </c>
      <c r="E247" s="4660" t="s">
        <v>3243</v>
      </c>
      <c r="F247" s="4660"/>
      <c r="G247" s="4660"/>
      <c r="H247" s="4660"/>
    </row>
    <row r="248" spans="1:8" ht="12.75" customHeight="1">
      <c r="C248" s="1515"/>
      <c r="D248" s="1513" t="s">
        <v>3104</v>
      </c>
      <c r="E248" s="4662" t="s">
        <v>3244</v>
      </c>
      <c r="F248" s="4662"/>
      <c r="G248" s="4662"/>
      <c r="H248" s="4662"/>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4294</v>
      </c>
      <c r="E252" s="4660" t="s">
        <v>3243</v>
      </c>
      <c r="F252" s="4660"/>
      <c r="G252" s="4660"/>
      <c r="H252" s="4660"/>
    </row>
    <row r="253" spans="1:8" ht="12.75" customHeight="1">
      <c r="C253" s="1515"/>
      <c r="D253" s="1513" t="s">
        <v>3104</v>
      </c>
      <c r="E253" s="4662" t="s">
        <v>3244</v>
      </c>
      <c r="F253" s="4662"/>
      <c r="G253" s="4662"/>
      <c r="H253" s="4662"/>
    </row>
    <row r="254" spans="1:8" ht="6" customHeight="1">
      <c r="D254" s="746"/>
      <c r="E254" s="1511"/>
      <c r="F254" s="1511"/>
      <c r="G254" s="1511"/>
      <c r="H254" s="1511"/>
    </row>
    <row r="255" spans="1:8">
      <c r="A255" s="717" t="s">
        <v>3100</v>
      </c>
      <c r="B255" s="744" t="str">
        <f>IF('Part VI-Revenues &amp; Expenses'!$O$60=0,"",'Part VI-Revenues &amp; Expenses'!$O$60)</f>
        <v/>
      </c>
      <c r="C255" s="717" t="s">
        <v>4292</v>
      </c>
      <c r="D255" s="745" t="s">
        <v>4293</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3243</v>
      </c>
      <c r="F259" s="4660"/>
      <c r="G259" s="4660"/>
      <c r="H259" s="4660"/>
    </row>
    <row r="260" spans="1:11" ht="12.75" customHeight="1">
      <c r="D260" s="749" t="s">
        <v>3104</v>
      </c>
      <c r="E260" s="4660" t="s">
        <v>3244</v>
      </c>
      <c r="F260" s="4660"/>
      <c r="G260" s="4660"/>
      <c r="H260" s="4660"/>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66" t="s">
        <v>4295</v>
      </c>
      <c r="B264" s="4666"/>
      <c r="C264" s="4666"/>
      <c r="D264" s="4666"/>
      <c r="E264" s="4666"/>
      <c r="F264" s="4666"/>
      <c r="G264" s="4666"/>
      <c r="H264" s="4666"/>
    </row>
    <row r="265" spans="1:11" ht="9" customHeight="1">
      <c r="A265" s="702"/>
    </row>
    <row r="266" spans="1:11">
      <c r="A266" s="717" t="s">
        <v>3100</v>
      </c>
      <c r="B266" s="744" t="str">
        <f>IF('Part VI-Revenues &amp; Expenses'!$K$59=0,"",'Part VI-Revenues &amp; Expenses'!$K$59)</f>
        <v/>
      </c>
      <c r="C266" s="717" t="s">
        <v>4289</v>
      </c>
      <c r="D266" s="745" t="s">
        <v>4290</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4294</v>
      </c>
      <c r="E270" s="4660" t="s">
        <v>3243</v>
      </c>
      <c r="F270" s="4660"/>
      <c r="G270" s="4660"/>
      <c r="H270" s="4660"/>
    </row>
    <row r="271" spans="1:11" ht="12.75" customHeight="1">
      <c r="C271" s="1515"/>
      <c r="D271" s="1513" t="s">
        <v>3104</v>
      </c>
      <c r="E271" s="4662" t="s">
        <v>3244</v>
      </c>
      <c r="F271" s="4662"/>
      <c r="G271" s="4662"/>
      <c r="H271" s="4662"/>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4294</v>
      </c>
      <c r="E275" s="4660" t="s">
        <v>3243</v>
      </c>
      <c r="F275" s="4660"/>
      <c r="G275" s="4660"/>
      <c r="H275" s="4660"/>
    </row>
    <row r="276" spans="1:8" ht="12.75" customHeight="1">
      <c r="C276" s="1515"/>
      <c r="D276" s="1513" t="s">
        <v>3104</v>
      </c>
      <c r="E276" s="4662" t="s">
        <v>3244</v>
      </c>
      <c r="F276" s="4662"/>
      <c r="G276" s="4662"/>
      <c r="H276" s="4662"/>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4294</v>
      </c>
      <c r="E280" s="4660" t="s">
        <v>3243</v>
      </c>
      <c r="F280" s="4660"/>
      <c r="G280" s="4660"/>
      <c r="H280" s="4660"/>
    </row>
    <row r="281" spans="1:8" ht="12.75" customHeight="1">
      <c r="C281" s="1515"/>
      <c r="D281" s="1513" t="s">
        <v>3104</v>
      </c>
      <c r="E281" s="4662" t="s">
        <v>3244</v>
      </c>
      <c r="F281" s="4662"/>
      <c r="G281" s="4662"/>
      <c r="H281" s="4662"/>
    </row>
    <row r="282" spans="1:8" ht="6" customHeight="1">
      <c r="D282" s="746"/>
      <c r="E282" s="1511"/>
      <c r="F282" s="1511"/>
      <c r="G282" s="1511"/>
      <c r="H282" s="1511"/>
    </row>
    <row r="283" spans="1:8">
      <c r="A283" s="717" t="s">
        <v>3100</v>
      </c>
      <c r="B283" s="744">
        <f>IF('Part VI-Revenues &amp; Expenses'!$L$59=0,"",'Part VI-Revenues &amp; Expenses'!$L$59)</f>
        <v>3</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4294</v>
      </c>
      <c r="E287" s="4660" t="s">
        <v>3243</v>
      </c>
      <c r="F287" s="4660"/>
      <c r="G287" s="4660"/>
      <c r="H287" s="4660"/>
    </row>
    <row r="288" spans="1:8" ht="12.75" customHeight="1">
      <c r="C288" s="1515"/>
      <c r="D288" s="1512" t="s">
        <v>3104</v>
      </c>
      <c r="E288" s="4661" t="s">
        <v>3244</v>
      </c>
      <c r="F288" s="4661"/>
      <c r="G288" s="4661"/>
      <c r="H288" s="4661"/>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4294</v>
      </c>
      <c r="E292" s="4660" t="s">
        <v>3243</v>
      </c>
      <c r="F292" s="4660"/>
      <c r="G292" s="4660"/>
      <c r="H292" s="4660"/>
    </row>
    <row r="293" spans="1:8" ht="12.75" customHeight="1">
      <c r="C293" s="1515"/>
      <c r="D293" s="1513" t="s">
        <v>3104</v>
      </c>
      <c r="E293" s="4662" t="s">
        <v>3244</v>
      </c>
      <c r="F293" s="4662"/>
      <c r="G293" s="4662"/>
      <c r="H293" s="4662"/>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4294</v>
      </c>
      <c r="E297" s="4660" t="s">
        <v>3243</v>
      </c>
      <c r="F297" s="4660"/>
      <c r="G297" s="4660"/>
      <c r="H297" s="4660"/>
    </row>
    <row r="298" spans="1:8" ht="12.75" customHeight="1">
      <c r="C298" s="1515"/>
      <c r="D298" s="1513" t="s">
        <v>3104</v>
      </c>
      <c r="E298" s="4662" t="s">
        <v>3244</v>
      </c>
      <c r="F298" s="4662"/>
      <c r="G298" s="4662"/>
      <c r="H298" s="4662"/>
    </row>
    <row r="299" spans="1:8" ht="6" customHeight="1">
      <c r="D299" s="746"/>
      <c r="E299" s="1511"/>
      <c r="F299" s="1511"/>
      <c r="G299" s="1511"/>
      <c r="H299" s="1511"/>
    </row>
    <row r="300" spans="1:8">
      <c r="A300" s="717" t="s">
        <v>3100</v>
      </c>
      <c r="B300" s="744">
        <f>IF('Part VI-Revenues &amp; Expenses'!$M$59=0,"",'Part VI-Revenues &amp; Expenses'!$M$59)</f>
        <v>8</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4294</v>
      </c>
      <c r="E304" s="4660" t="s">
        <v>3243</v>
      </c>
      <c r="F304" s="4660"/>
      <c r="G304" s="4660"/>
      <c r="H304" s="4660"/>
    </row>
    <row r="305" spans="1:8" ht="12.75" customHeight="1">
      <c r="C305" s="1515"/>
      <c r="D305" s="1512" t="s">
        <v>3104</v>
      </c>
      <c r="E305" s="4661" t="s">
        <v>3244</v>
      </c>
      <c r="F305" s="4661"/>
      <c r="G305" s="4661"/>
      <c r="H305" s="4661"/>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4294</v>
      </c>
      <c r="E309" s="4660" t="s">
        <v>3243</v>
      </c>
      <c r="F309" s="4660"/>
      <c r="G309" s="4660"/>
      <c r="H309" s="4660"/>
    </row>
    <row r="310" spans="1:8" ht="12.75" customHeight="1">
      <c r="C310" s="1515"/>
      <c r="D310" s="1513" t="s">
        <v>3104</v>
      </c>
      <c r="E310" s="4662" t="s">
        <v>3244</v>
      </c>
      <c r="F310" s="4662"/>
      <c r="G310" s="4662"/>
      <c r="H310" s="4662"/>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4294</v>
      </c>
      <c r="E314" s="4660" t="s">
        <v>3243</v>
      </c>
      <c r="F314" s="4660"/>
      <c r="G314" s="4660"/>
      <c r="H314" s="4660"/>
    </row>
    <row r="315" spans="1:8" ht="12.75" customHeight="1">
      <c r="C315" s="1515"/>
      <c r="D315" s="1513" t="s">
        <v>3104</v>
      </c>
      <c r="E315" s="4662" t="s">
        <v>3244</v>
      </c>
      <c r="F315" s="4662"/>
      <c r="G315" s="4662"/>
      <c r="H315" s="4662"/>
    </row>
    <row r="316" spans="1:8" ht="6" customHeight="1">
      <c r="D316" s="746"/>
      <c r="E316" s="1511"/>
      <c r="F316" s="1511"/>
      <c r="G316" s="1511"/>
      <c r="H316" s="1511"/>
    </row>
    <row r="317" spans="1:8">
      <c r="A317" s="717" t="s">
        <v>3100</v>
      </c>
      <c r="B317" s="744">
        <f>IF('Part VI-Revenues &amp; Expenses'!$N$59=0,"",'Part VI-Revenues &amp; Expenses'!$N$59)</f>
        <v>5</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4294</v>
      </c>
      <c r="E321" s="4660" t="s">
        <v>3243</v>
      </c>
      <c r="F321" s="4660"/>
      <c r="G321" s="4660"/>
      <c r="H321" s="4660"/>
    </row>
    <row r="322" spans="1:11" ht="12.75" customHeight="1">
      <c r="C322" s="1515"/>
      <c r="D322" s="1512" t="s">
        <v>3104</v>
      </c>
      <c r="E322" s="4661" t="s">
        <v>3244</v>
      </c>
      <c r="F322" s="4661"/>
      <c r="G322" s="4661"/>
      <c r="H322" s="4661"/>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4294</v>
      </c>
      <c r="E326" s="4660" t="s">
        <v>3243</v>
      </c>
      <c r="F326" s="4660"/>
      <c r="G326" s="4660"/>
      <c r="H326" s="4660"/>
    </row>
    <row r="327" spans="1:11" ht="12.75" customHeight="1">
      <c r="C327" s="1515"/>
      <c r="D327" s="1513" t="s">
        <v>3104</v>
      </c>
      <c r="E327" s="4662" t="s">
        <v>3244</v>
      </c>
      <c r="F327" s="4662"/>
      <c r="G327" s="4662"/>
      <c r="H327" s="4662"/>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4294</v>
      </c>
      <c r="E331" s="4660" t="s">
        <v>3243</v>
      </c>
      <c r="F331" s="4660"/>
      <c r="G331" s="4660"/>
      <c r="H331" s="4660"/>
    </row>
    <row r="332" spans="1:11" ht="12.75" customHeight="1">
      <c r="C332" s="1515"/>
      <c r="D332" s="1513" t="s">
        <v>3104</v>
      </c>
      <c r="E332" s="4662" t="s">
        <v>3244</v>
      </c>
      <c r="F332" s="4662"/>
      <c r="G332" s="4662"/>
      <c r="H332" s="4662"/>
    </row>
    <row r="333" spans="1:11" ht="6" customHeight="1">
      <c r="D333" s="746"/>
      <c r="E333" s="1511"/>
      <c r="F333" s="1511"/>
      <c r="G333" s="1511"/>
      <c r="H333" s="1511"/>
    </row>
    <row r="334" spans="1:11">
      <c r="A334" s="717" t="s">
        <v>3100</v>
      </c>
      <c r="B334" s="744" t="str">
        <f>IF('Part VI-Revenues &amp; Expenses'!$O$59=0,"",'Part VI-Revenues &amp; Expenses'!$O$59)</f>
        <v/>
      </c>
      <c r="C334" s="717" t="s">
        <v>4292</v>
      </c>
      <c r="D334" s="745" t="s">
        <v>4293</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3243</v>
      </c>
      <c r="F338" s="4660"/>
      <c r="G338" s="4660"/>
      <c r="H338" s="4660"/>
    </row>
    <row r="339" spans="1:8" ht="12.75" customHeight="1">
      <c r="D339" s="749" t="s">
        <v>3104</v>
      </c>
      <c r="E339" s="4660" t="s">
        <v>3244</v>
      </c>
      <c r="F339" s="4660"/>
      <c r="G339" s="4660"/>
      <c r="H339" s="4660"/>
    </row>
    <row r="340" spans="1:8" ht="9" customHeight="1"/>
    <row r="341" spans="1:8" ht="7.5" customHeight="1" thickBot="1">
      <c r="E341" s="4660"/>
      <c r="F341" s="4660"/>
      <c r="G341" s="4660"/>
      <c r="H341" s="4660"/>
    </row>
    <row r="342" spans="1:8" ht="16.149999999999999" customHeight="1" thickBot="1">
      <c r="A342" s="4668">
        <v>60</v>
      </c>
      <c r="B342" s="4669"/>
      <c r="C342" s="1516" t="s">
        <v>1000</v>
      </c>
    </row>
    <row r="343" spans="1:8" ht="9" customHeight="1">
      <c r="A343" s="702"/>
    </row>
    <row r="344" spans="1:8" ht="28.15" customHeight="1">
      <c r="A344" s="4666" t="s">
        <v>4299</v>
      </c>
      <c r="B344" s="4666"/>
      <c r="C344" s="4666"/>
      <c r="D344" s="4666"/>
      <c r="E344" s="4666"/>
      <c r="F344" s="4666"/>
      <c r="G344" s="4666"/>
      <c r="H344" s="4666"/>
    </row>
    <row r="345" spans="1:8" ht="9" customHeight="1">
      <c r="A345" s="702"/>
    </row>
    <row r="346" spans="1:8">
      <c r="A346" s="717" t="s">
        <v>3100</v>
      </c>
      <c r="B346" s="744" t="str">
        <f>IF('Part VI-Revenues &amp; Expenses'!$K$58=0,"",'Part VI-Revenues &amp; Expenses'!$K$58)</f>
        <v/>
      </c>
      <c r="C346" s="717" t="s">
        <v>4289</v>
      </c>
      <c r="D346" s="745" t="s">
        <v>4290</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4294</v>
      </c>
      <c r="E350" s="4660" t="s">
        <v>3243</v>
      </c>
      <c r="F350" s="4660"/>
      <c r="G350" s="4660"/>
      <c r="H350" s="4660"/>
    </row>
    <row r="351" spans="1:8" ht="12.75" customHeight="1">
      <c r="C351" s="1515"/>
      <c r="D351" s="1513" t="s">
        <v>3104</v>
      </c>
      <c r="E351" s="4662" t="s">
        <v>3244</v>
      </c>
      <c r="F351" s="4662"/>
      <c r="G351" s="4662"/>
      <c r="H351" s="4662"/>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4294</v>
      </c>
      <c r="E355" s="4660" t="s">
        <v>3243</v>
      </c>
      <c r="F355" s="4660"/>
      <c r="G355" s="4660"/>
      <c r="H355" s="4660"/>
    </row>
    <row r="356" spans="1:8" ht="12.75" customHeight="1">
      <c r="C356" s="1515"/>
      <c r="D356" s="1513" t="s">
        <v>3104</v>
      </c>
      <c r="E356" s="4662" t="s">
        <v>3244</v>
      </c>
      <c r="F356" s="4662"/>
      <c r="G356" s="4662"/>
      <c r="H356" s="4662"/>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4294</v>
      </c>
      <c r="E360" s="4660" t="s">
        <v>3243</v>
      </c>
      <c r="F360" s="4660"/>
      <c r="G360" s="4660"/>
      <c r="H360" s="4660"/>
    </row>
    <row r="361" spans="1:8" ht="12.75" customHeight="1">
      <c r="C361" s="1515"/>
      <c r="D361" s="1513" t="s">
        <v>3104</v>
      </c>
      <c r="E361" s="4662" t="s">
        <v>3244</v>
      </c>
      <c r="F361" s="4662"/>
      <c r="G361" s="4662"/>
      <c r="H361" s="4662"/>
    </row>
    <row r="362" spans="1:8" ht="6" customHeight="1">
      <c r="D362" s="746"/>
      <c r="E362" s="1511"/>
      <c r="F362" s="1511"/>
      <c r="G362" s="1511"/>
      <c r="H362" s="1511"/>
    </row>
    <row r="363" spans="1:8">
      <c r="A363" s="717" t="s">
        <v>3100</v>
      </c>
      <c r="B363" s="744">
        <f>IF('Part VI-Revenues &amp; Expenses'!$L$58=0,"",'Part VI-Revenues &amp; Expenses'!$L$58)</f>
        <v>4</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4294</v>
      </c>
      <c r="E367" s="4660" t="s">
        <v>3243</v>
      </c>
      <c r="F367" s="4660"/>
      <c r="G367" s="4660"/>
      <c r="H367" s="4660"/>
    </row>
    <row r="368" spans="1:8" ht="12.75" customHeight="1">
      <c r="C368" s="1515"/>
      <c r="D368" s="1512" t="s">
        <v>3104</v>
      </c>
      <c r="E368" s="4661" t="s">
        <v>3244</v>
      </c>
      <c r="F368" s="4661"/>
      <c r="G368" s="4661"/>
      <c r="H368" s="4661"/>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4294</v>
      </c>
      <c r="E372" s="4660" t="s">
        <v>3243</v>
      </c>
      <c r="F372" s="4660"/>
      <c r="G372" s="4660"/>
      <c r="H372" s="4660"/>
    </row>
    <row r="373" spans="1:8" ht="12.75" customHeight="1">
      <c r="C373" s="1515"/>
      <c r="D373" s="1513" t="s">
        <v>3104</v>
      </c>
      <c r="E373" s="4662" t="s">
        <v>3244</v>
      </c>
      <c r="F373" s="4662"/>
      <c r="G373" s="4662"/>
      <c r="H373" s="4662"/>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4294</v>
      </c>
      <c r="E377" s="4660" t="s">
        <v>3243</v>
      </c>
      <c r="F377" s="4660"/>
      <c r="G377" s="4660"/>
      <c r="H377" s="4660"/>
    </row>
    <row r="378" spans="1:8" ht="12.75" customHeight="1">
      <c r="C378" s="1515"/>
      <c r="D378" s="1513" t="s">
        <v>3104</v>
      </c>
      <c r="E378" s="4662" t="s">
        <v>3244</v>
      </c>
      <c r="F378" s="4662"/>
      <c r="G378" s="4662"/>
      <c r="H378" s="4662"/>
    </row>
    <row r="379" spans="1:8" ht="6" customHeight="1">
      <c r="D379" s="746"/>
      <c r="E379" s="1511"/>
      <c r="F379" s="1511"/>
      <c r="G379" s="1511"/>
      <c r="H379" s="1511"/>
    </row>
    <row r="380" spans="1:8">
      <c r="A380" s="717" t="s">
        <v>3100</v>
      </c>
      <c r="B380" s="744">
        <f>IF('Part VI-Revenues &amp; Expenses'!$M$58=0,"",'Part VI-Revenues &amp; Expenses'!$M$58)</f>
        <v>13</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4294</v>
      </c>
      <c r="E384" s="4660" t="s">
        <v>3243</v>
      </c>
      <c r="F384" s="4660"/>
      <c r="G384" s="4660"/>
      <c r="H384" s="4660"/>
    </row>
    <row r="385" spans="1:8" ht="12.75" customHeight="1">
      <c r="C385" s="1515"/>
      <c r="D385" s="1512" t="s">
        <v>3104</v>
      </c>
      <c r="E385" s="4661" t="s">
        <v>3244</v>
      </c>
      <c r="F385" s="4661"/>
      <c r="G385" s="4661"/>
      <c r="H385" s="4661"/>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4294</v>
      </c>
      <c r="E389" s="4660" t="s">
        <v>3243</v>
      </c>
      <c r="F389" s="4660"/>
      <c r="G389" s="4660"/>
      <c r="H389" s="4660"/>
    </row>
    <row r="390" spans="1:8" ht="12.75" customHeight="1">
      <c r="C390" s="1515"/>
      <c r="D390" s="1513" t="s">
        <v>3104</v>
      </c>
      <c r="E390" s="4662" t="s">
        <v>3244</v>
      </c>
      <c r="F390" s="4662"/>
      <c r="G390" s="4662"/>
      <c r="H390" s="4662"/>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4294</v>
      </c>
      <c r="E394" s="4660" t="s">
        <v>3243</v>
      </c>
      <c r="F394" s="4660"/>
      <c r="G394" s="4660"/>
      <c r="H394" s="4660"/>
    </row>
    <row r="395" spans="1:8" ht="12.75" customHeight="1">
      <c r="C395" s="1515"/>
      <c r="D395" s="1513" t="s">
        <v>3104</v>
      </c>
      <c r="E395" s="4662" t="s">
        <v>3244</v>
      </c>
      <c r="F395" s="4662"/>
      <c r="G395" s="4662"/>
      <c r="H395" s="4662"/>
    </row>
    <row r="396" spans="1:8" ht="6" customHeight="1">
      <c r="D396" s="746"/>
      <c r="E396" s="1511"/>
      <c r="F396" s="1511"/>
      <c r="G396" s="1511"/>
      <c r="H396" s="1511"/>
    </row>
    <row r="397" spans="1:8">
      <c r="A397" s="717" t="s">
        <v>3100</v>
      </c>
      <c r="B397" s="744">
        <f>IF('Part VI-Revenues &amp; Expenses'!$N$58=0,"",'Part VI-Revenues &amp; Expenses'!$N$58)</f>
        <v>9</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4294</v>
      </c>
      <c r="E401" s="4660" t="s">
        <v>3243</v>
      </c>
      <c r="F401" s="4660"/>
      <c r="G401" s="4660"/>
      <c r="H401" s="4660"/>
    </row>
    <row r="402" spans="1:11" ht="12.75" customHeight="1">
      <c r="C402" s="1515"/>
      <c r="D402" s="1512" t="s">
        <v>3104</v>
      </c>
      <c r="E402" s="4661" t="s">
        <v>3244</v>
      </c>
      <c r="F402" s="4661"/>
      <c r="G402" s="4661"/>
      <c r="H402" s="4661"/>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4294</v>
      </c>
      <c r="E406" s="4660" t="s">
        <v>3243</v>
      </c>
      <c r="F406" s="4660"/>
      <c r="G406" s="4660"/>
      <c r="H406" s="4660"/>
    </row>
    <row r="407" spans="1:11" ht="12.75" customHeight="1">
      <c r="C407" s="1515"/>
      <c r="D407" s="1513" t="s">
        <v>3104</v>
      </c>
      <c r="E407" s="4662" t="s">
        <v>3244</v>
      </c>
      <c r="F407" s="4662"/>
      <c r="G407" s="4662"/>
      <c r="H407" s="4662"/>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4294</v>
      </c>
      <c r="E411" s="4660" t="s">
        <v>3243</v>
      </c>
      <c r="F411" s="4660"/>
      <c r="G411" s="4660"/>
      <c r="H411" s="4660"/>
    </row>
    <row r="412" spans="1:11" ht="12.75" customHeight="1">
      <c r="C412" s="1515"/>
      <c r="D412" s="1513" t="s">
        <v>3104</v>
      </c>
      <c r="E412" s="4662" t="s">
        <v>3244</v>
      </c>
      <c r="F412" s="4662"/>
      <c r="G412" s="4662"/>
      <c r="H412" s="4662"/>
    </row>
    <row r="413" spans="1:11" ht="6" customHeight="1">
      <c r="D413" s="746"/>
      <c r="E413" s="1511"/>
      <c r="F413" s="1511"/>
      <c r="G413" s="1511"/>
      <c r="H413" s="1511"/>
    </row>
    <row r="414" spans="1:11">
      <c r="A414" s="717" t="s">
        <v>3100</v>
      </c>
      <c r="B414" s="744" t="str">
        <f>IF('Part VI-Revenues &amp; Expenses'!$O$58=0,"",'Part VI-Revenues &amp; Expenses'!$O$58)</f>
        <v/>
      </c>
      <c r="C414" s="717" t="s">
        <v>4292</v>
      </c>
      <c r="D414" s="745" t="s">
        <v>4293</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3243</v>
      </c>
      <c r="F418" s="4660"/>
      <c r="G418" s="4660"/>
      <c r="H418" s="4660"/>
    </row>
    <row r="419" spans="1:8" ht="12.75" customHeight="1">
      <c r="D419" s="749" t="s">
        <v>3104</v>
      </c>
      <c r="E419" s="4660" t="s">
        <v>3244</v>
      </c>
      <c r="F419" s="4660"/>
      <c r="G419" s="4660"/>
      <c r="H419" s="4660"/>
    </row>
    <row r="420" spans="1:8" ht="9" customHeight="1" thickBot="1"/>
    <row r="421" spans="1:8" ht="16.149999999999999" customHeight="1" thickBot="1">
      <c r="A421" s="4668">
        <v>70</v>
      </c>
      <c r="B421" s="4669"/>
      <c r="C421" s="1516" t="s">
        <v>1000</v>
      </c>
    </row>
    <row r="422" spans="1:8" ht="9" customHeight="1">
      <c r="A422" s="702"/>
    </row>
    <row r="423" spans="1:8" ht="28.15" customHeight="1">
      <c r="A423" s="4666" t="s">
        <v>4300</v>
      </c>
      <c r="B423" s="4666"/>
      <c r="C423" s="4666"/>
      <c r="D423" s="4666"/>
      <c r="E423" s="4666"/>
      <c r="F423" s="4666"/>
      <c r="G423" s="4666"/>
      <c r="H423" s="4666"/>
    </row>
    <row r="424" spans="1:8" ht="9" customHeight="1">
      <c r="A424" s="702"/>
    </row>
    <row r="425" spans="1:8">
      <c r="A425" s="717" t="s">
        <v>3100</v>
      </c>
      <c r="B425" s="744" t="str">
        <f>IF('Part VI-Revenues &amp; Expenses'!$K$57=0,"",'Part VI-Revenues &amp; Expenses'!$K$57)</f>
        <v/>
      </c>
      <c r="C425" s="717" t="s">
        <v>4289</v>
      </c>
      <c r="D425" s="745" t="s">
        <v>4290</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4294</v>
      </c>
      <c r="E429" s="4660" t="s">
        <v>3243</v>
      </c>
      <c r="F429" s="4660"/>
      <c r="G429" s="4660"/>
      <c r="H429" s="4660"/>
    </row>
    <row r="430" spans="1:8" ht="12.75" customHeight="1">
      <c r="C430" s="1515"/>
      <c r="D430" s="1513" t="s">
        <v>3104</v>
      </c>
      <c r="E430" s="4662" t="s">
        <v>3244</v>
      </c>
      <c r="F430" s="4662"/>
      <c r="G430" s="4662"/>
      <c r="H430" s="4662"/>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4294</v>
      </c>
      <c r="E434" s="4660" t="s">
        <v>3243</v>
      </c>
      <c r="F434" s="4660"/>
      <c r="G434" s="4660"/>
      <c r="H434" s="4660"/>
    </row>
    <row r="435" spans="1:8" ht="12.75" customHeight="1">
      <c r="C435" s="1515"/>
      <c r="D435" s="1513" t="s">
        <v>3104</v>
      </c>
      <c r="E435" s="4662" t="s">
        <v>3244</v>
      </c>
      <c r="F435" s="4662"/>
      <c r="G435" s="4662"/>
      <c r="H435" s="4662"/>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4294</v>
      </c>
      <c r="E439" s="4660" t="s">
        <v>3243</v>
      </c>
      <c r="F439" s="4660"/>
      <c r="G439" s="4660"/>
      <c r="H439" s="4660"/>
    </row>
    <row r="440" spans="1:8" ht="12.75" customHeight="1">
      <c r="C440" s="1515"/>
      <c r="D440" s="1513" t="s">
        <v>3104</v>
      </c>
      <c r="E440" s="4662" t="s">
        <v>3244</v>
      </c>
      <c r="F440" s="4662"/>
      <c r="G440" s="4662"/>
      <c r="H440" s="4662"/>
    </row>
    <row r="441" spans="1:8" ht="6" customHeight="1">
      <c r="D441" s="746"/>
      <c r="E441" s="1511"/>
      <c r="F441" s="1511"/>
      <c r="G441" s="1511"/>
      <c r="H441" s="1511"/>
    </row>
    <row r="442" spans="1:8">
      <c r="A442" s="717" t="s">
        <v>3100</v>
      </c>
      <c r="B442" s="744">
        <f>IF('Part VI-Revenues &amp; Expenses'!$L$57=0,"",'Part VI-Revenues &amp; Expenses'!$L$57)</f>
        <v>1</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4294</v>
      </c>
      <c r="E446" s="4660" t="s">
        <v>3243</v>
      </c>
      <c r="F446" s="4660"/>
      <c r="G446" s="4660"/>
      <c r="H446" s="4660"/>
    </row>
    <row r="447" spans="1:8" ht="12.75" customHeight="1">
      <c r="C447" s="1515"/>
      <c r="D447" s="1512" t="s">
        <v>3104</v>
      </c>
      <c r="E447" s="4661" t="s">
        <v>3244</v>
      </c>
      <c r="F447" s="4661"/>
      <c r="G447" s="4661"/>
      <c r="H447" s="4661"/>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4294</v>
      </c>
      <c r="E451" s="4660" t="s">
        <v>3243</v>
      </c>
      <c r="F451" s="4660"/>
      <c r="G451" s="4660"/>
      <c r="H451" s="4660"/>
    </row>
    <row r="452" spans="1:8" ht="12.75" customHeight="1">
      <c r="C452" s="1515"/>
      <c r="D452" s="1513" t="s">
        <v>3104</v>
      </c>
      <c r="E452" s="4662" t="s">
        <v>3244</v>
      </c>
      <c r="F452" s="4662"/>
      <c r="G452" s="4662"/>
      <c r="H452" s="4662"/>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4294</v>
      </c>
      <c r="E456" s="4660" t="s">
        <v>3243</v>
      </c>
      <c r="F456" s="4660"/>
      <c r="G456" s="4660"/>
      <c r="H456" s="4660"/>
    </row>
    <row r="457" spans="1:8" ht="12.75" customHeight="1">
      <c r="C457" s="1515"/>
      <c r="D457" s="1513" t="s">
        <v>3104</v>
      </c>
      <c r="E457" s="4662" t="s">
        <v>3244</v>
      </c>
      <c r="F457" s="4662"/>
      <c r="G457" s="4662"/>
      <c r="H457" s="4662"/>
    </row>
    <row r="458" spans="1:8" ht="6" customHeight="1">
      <c r="D458" s="746"/>
      <c r="E458" s="1511"/>
      <c r="F458" s="1511"/>
      <c r="G458" s="1511"/>
      <c r="H458" s="1511"/>
    </row>
    <row r="459" spans="1:8">
      <c r="A459" s="717" t="s">
        <v>3100</v>
      </c>
      <c r="B459" s="744">
        <f>IF('Part VI-Revenues &amp; Expenses'!$M$57=0,"",'Part VI-Revenues &amp; Expenses'!$M$57)</f>
        <v>3</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4294</v>
      </c>
      <c r="E463" s="4660" t="s">
        <v>3243</v>
      </c>
      <c r="F463" s="4660"/>
      <c r="G463" s="4660"/>
      <c r="H463" s="4660"/>
    </row>
    <row r="464" spans="1:8" ht="12.75" customHeight="1">
      <c r="C464" s="1515"/>
      <c r="D464" s="1512" t="s">
        <v>3104</v>
      </c>
      <c r="E464" s="4661" t="s">
        <v>3244</v>
      </c>
      <c r="F464" s="4661"/>
      <c r="G464" s="4661"/>
      <c r="H464" s="4661"/>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4294</v>
      </c>
      <c r="E468" s="4660" t="s">
        <v>3243</v>
      </c>
      <c r="F468" s="4660"/>
      <c r="G468" s="4660"/>
      <c r="H468" s="4660"/>
    </row>
    <row r="469" spans="1:8" ht="12.75" customHeight="1">
      <c r="C469" s="1515"/>
      <c r="D469" s="1513" t="s">
        <v>3104</v>
      </c>
      <c r="E469" s="4662" t="s">
        <v>3244</v>
      </c>
      <c r="F469" s="4662"/>
      <c r="G469" s="4662"/>
      <c r="H469" s="4662"/>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4294</v>
      </c>
      <c r="E473" s="4660" t="s">
        <v>3243</v>
      </c>
      <c r="F473" s="4660"/>
      <c r="G473" s="4660"/>
      <c r="H473" s="4660"/>
    </row>
    <row r="474" spans="1:8" ht="12.75" customHeight="1">
      <c r="C474" s="1515"/>
      <c r="D474" s="1513" t="s">
        <v>3104</v>
      </c>
      <c r="E474" s="4662" t="s">
        <v>3244</v>
      </c>
      <c r="F474" s="4662"/>
      <c r="G474" s="4662"/>
      <c r="H474" s="4662"/>
    </row>
    <row r="475" spans="1:8" ht="6" customHeight="1">
      <c r="D475" s="746"/>
      <c r="E475" s="1511"/>
      <c r="F475" s="1511"/>
      <c r="G475" s="1511"/>
      <c r="H475" s="1511"/>
    </row>
    <row r="476" spans="1:8">
      <c r="A476" s="717" t="s">
        <v>3100</v>
      </c>
      <c r="B476" s="744">
        <f>IF('Part VI-Revenues &amp; Expenses'!$N$57=0,"",'Part VI-Revenues &amp; Expenses'!$N$57)</f>
        <v>2</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4294</v>
      </c>
      <c r="E480" s="4660" t="s">
        <v>3243</v>
      </c>
      <c r="F480" s="4660"/>
      <c r="G480" s="4660"/>
      <c r="H480" s="4660"/>
    </row>
    <row r="481" spans="1:11" ht="12.75" customHeight="1">
      <c r="C481" s="1515"/>
      <c r="D481" s="1512" t="s">
        <v>3104</v>
      </c>
      <c r="E481" s="4661" t="s">
        <v>3244</v>
      </c>
      <c r="F481" s="4661"/>
      <c r="G481" s="4661"/>
      <c r="H481" s="4661"/>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4294</v>
      </c>
      <c r="E485" s="4660" t="s">
        <v>3243</v>
      </c>
      <c r="F485" s="4660"/>
      <c r="G485" s="4660"/>
      <c r="H485" s="4660"/>
    </row>
    <row r="486" spans="1:11" ht="12.75" customHeight="1">
      <c r="C486" s="1515"/>
      <c r="D486" s="1513" t="s">
        <v>3104</v>
      </c>
      <c r="E486" s="4662" t="s">
        <v>3244</v>
      </c>
      <c r="F486" s="4662"/>
      <c r="G486" s="4662"/>
      <c r="H486" s="4662"/>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4294</v>
      </c>
      <c r="E490" s="4660" t="s">
        <v>3243</v>
      </c>
      <c r="F490" s="4660"/>
      <c r="G490" s="4660"/>
      <c r="H490" s="4660"/>
    </row>
    <row r="491" spans="1:11" ht="12.75" customHeight="1">
      <c r="C491" s="1515"/>
      <c r="D491" s="1513" t="s">
        <v>3104</v>
      </c>
      <c r="E491" s="4662" t="s">
        <v>3244</v>
      </c>
      <c r="F491" s="4662"/>
      <c r="G491" s="4662"/>
      <c r="H491" s="4662"/>
    </row>
    <row r="492" spans="1:11" ht="6" customHeight="1">
      <c r="D492" s="746"/>
      <c r="E492" s="1511"/>
      <c r="F492" s="1511"/>
      <c r="G492" s="1511"/>
      <c r="H492" s="1511"/>
    </row>
    <row r="493" spans="1:11">
      <c r="A493" s="717" t="s">
        <v>3100</v>
      </c>
      <c r="B493" s="744" t="str">
        <f>IF('Part VI-Revenues &amp; Expenses'!$O$57=0,"",'Part VI-Revenues &amp; Expenses'!$O$57)</f>
        <v/>
      </c>
      <c r="C493" s="717" t="s">
        <v>4292</v>
      </c>
      <c r="D493" s="745" t="s">
        <v>4293</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3243</v>
      </c>
      <c r="F497" s="4660"/>
      <c r="G497" s="4660"/>
      <c r="H497" s="4660"/>
    </row>
    <row r="498" spans="1:8" ht="12.75" customHeight="1">
      <c r="D498" s="749" t="s">
        <v>3104</v>
      </c>
      <c r="E498" s="4660" t="s">
        <v>3244</v>
      </c>
      <c r="F498" s="4660"/>
      <c r="G498" s="4660"/>
      <c r="H498" s="4660"/>
    </row>
    <row r="499" spans="1:8" ht="9" customHeight="1" thickBot="1"/>
    <row r="500" spans="1:8" ht="16.149999999999999" customHeight="1" thickBot="1">
      <c r="A500" s="4668">
        <v>80</v>
      </c>
      <c r="B500" s="4669"/>
      <c r="C500" s="1516" t="s">
        <v>1000</v>
      </c>
    </row>
    <row r="501" spans="1:8" ht="9" customHeight="1">
      <c r="A501" s="702"/>
    </row>
    <row r="502" spans="1:8" ht="28.15" customHeight="1">
      <c r="A502" s="4666" t="s">
        <v>4301</v>
      </c>
      <c r="B502" s="4666"/>
      <c r="C502" s="4666"/>
      <c r="D502" s="4666"/>
      <c r="E502" s="4666"/>
      <c r="F502" s="4666"/>
      <c r="G502" s="4666"/>
      <c r="H502" s="4666"/>
    </row>
    <row r="503" spans="1:8" ht="9" customHeight="1">
      <c r="A503" s="702"/>
    </row>
    <row r="504" spans="1:8">
      <c r="A504" s="717" t="s">
        <v>3100</v>
      </c>
      <c r="B504" s="744" t="str">
        <f>IF('Part VI-Revenues &amp; Expenses'!$K$56=0,"",'Part VI-Revenues &amp; Expenses'!$K$56)</f>
        <v/>
      </c>
      <c r="C504" s="717" t="s">
        <v>4289</v>
      </c>
      <c r="D504" s="745" t="s">
        <v>4290</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4294</v>
      </c>
      <c r="E508" s="4660" t="s">
        <v>3243</v>
      </c>
      <c r="F508" s="4660"/>
      <c r="G508" s="4660"/>
      <c r="H508" s="4660"/>
    </row>
    <row r="509" spans="1:8" ht="12.75" customHeight="1">
      <c r="C509" s="1515"/>
      <c r="D509" s="1513" t="s">
        <v>3104</v>
      </c>
      <c r="E509" s="4662" t="s">
        <v>3244</v>
      </c>
      <c r="F509" s="4662"/>
      <c r="G509" s="4662"/>
      <c r="H509" s="4662"/>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4294</v>
      </c>
      <c r="E513" s="4660" t="s">
        <v>3243</v>
      </c>
      <c r="F513" s="4660"/>
      <c r="G513" s="4660"/>
      <c r="H513" s="4660"/>
    </row>
    <row r="514" spans="1:8" ht="12.75" customHeight="1">
      <c r="C514" s="1515"/>
      <c r="D514" s="1513" t="s">
        <v>3104</v>
      </c>
      <c r="E514" s="4662" t="s">
        <v>3244</v>
      </c>
      <c r="F514" s="4662"/>
      <c r="G514" s="4662"/>
      <c r="H514" s="4662"/>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4294</v>
      </c>
      <c r="E518" s="4660" t="s">
        <v>3243</v>
      </c>
      <c r="F518" s="4660"/>
      <c r="G518" s="4660"/>
      <c r="H518" s="4660"/>
    </row>
    <row r="519" spans="1:8" ht="12.75" customHeight="1">
      <c r="C519" s="1515"/>
      <c r="D519" s="1513" t="s">
        <v>3104</v>
      </c>
      <c r="E519" s="4662" t="s">
        <v>3244</v>
      </c>
      <c r="F519" s="4662"/>
      <c r="G519" s="4662"/>
      <c r="H519" s="4662"/>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4294</v>
      </c>
      <c r="E525" s="4660" t="s">
        <v>3243</v>
      </c>
      <c r="F525" s="4660"/>
      <c r="G525" s="4660"/>
      <c r="H525" s="4660"/>
    </row>
    <row r="526" spans="1:8" ht="12.75" customHeight="1">
      <c r="C526" s="1515"/>
      <c r="D526" s="1512" t="s">
        <v>3104</v>
      </c>
      <c r="E526" s="4661" t="s">
        <v>3244</v>
      </c>
      <c r="F526" s="4661"/>
      <c r="G526" s="4661"/>
      <c r="H526" s="4661"/>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4294</v>
      </c>
      <c r="E530" s="4660" t="s">
        <v>3243</v>
      </c>
      <c r="F530" s="4660"/>
      <c r="G530" s="4660"/>
      <c r="H530" s="4660"/>
    </row>
    <row r="531" spans="1:8" ht="12.75" customHeight="1">
      <c r="C531" s="1515"/>
      <c r="D531" s="1513" t="s">
        <v>3104</v>
      </c>
      <c r="E531" s="4662" t="s">
        <v>3244</v>
      </c>
      <c r="F531" s="4662"/>
      <c r="G531" s="4662"/>
      <c r="H531" s="4662"/>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4294</v>
      </c>
      <c r="E535" s="4660" t="s">
        <v>3243</v>
      </c>
      <c r="F535" s="4660"/>
      <c r="G535" s="4660"/>
      <c r="H535" s="4660"/>
    </row>
    <row r="536" spans="1:8" ht="12.75" customHeight="1">
      <c r="C536" s="1515"/>
      <c r="D536" s="1513" t="s">
        <v>3104</v>
      </c>
      <c r="E536" s="4662" t="s">
        <v>3244</v>
      </c>
      <c r="F536" s="4662"/>
      <c r="G536" s="4662"/>
      <c r="H536" s="4662"/>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4294</v>
      </c>
      <c r="E542" s="4660" t="s">
        <v>3243</v>
      </c>
      <c r="F542" s="4660"/>
      <c r="G542" s="4660"/>
      <c r="H542" s="4660"/>
    </row>
    <row r="543" spans="1:8" ht="12.75" customHeight="1">
      <c r="C543" s="1515"/>
      <c r="D543" s="1512" t="s">
        <v>3104</v>
      </c>
      <c r="E543" s="4661" t="s">
        <v>3244</v>
      </c>
      <c r="F543" s="4661"/>
      <c r="G543" s="4661"/>
      <c r="H543" s="4661"/>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4294</v>
      </c>
      <c r="E547" s="4660" t="s">
        <v>3243</v>
      </c>
      <c r="F547" s="4660"/>
      <c r="G547" s="4660"/>
      <c r="H547" s="4660"/>
    </row>
    <row r="548" spans="1:8" ht="12.75" customHeight="1">
      <c r="C548" s="1515"/>
      <c r="D548" s="1513" t="s">
        <v>3104</v>
      </c>
      <c r="E548" s="4662" t="s">
        <v>3244</v>
      </c>
      <c r="F548" s="4662"/>
      <c r="G548" s="4662"/>
      <c r="H548" s="4662"/>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4294</v>
      </c>
      <c r="E552" s="4660" t="s">
        <v>3243</v>
      </c>
      <c r="F552" s="4660"/>
      <c r="G552" s="4660"/>
      <c r="H552" s="4660"/>
    </row>
    <row r="553" spans="1:8" ht="12.75" customHeight="1">
      <c r="C553" s="1515"/>
      <c r="D553" s="1513" t="s">
        <v>3104</v>
      </c>
      <c r="E553" s="4662" t="s">
        <v>3244</v>
      </c>
      <c r="F553" s="4662"/>
      <c r="G553" s="4662"/>
      <c r="H553" s="4662"/>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4294</v>
      </c>
      <c r="E559" s="4660" t="s">
        <v>3243</v>
      </c>
      <c r="F559" s="4660"/>
      <c r="G559" s="4660"/>
      <c r="H559" s="4660"/>
    </row>
    <row r="560" spans="1:8" ht="12.75" customHeight="1">
      <c r="C560" s="1515"/>
      <c r="D560" s="1512" t="s">
        <v>3104</v>
      </c>
      <c r="E560" s="4661" t="s">
        <v>3244</v>
      </c>
      <c r="F560" s="4661"/>
      <c r="G560" s="4661"/>
      <c r="H560" s="4661"/>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4294</v>
      </c>
      <c r="E564" s="4660" t="s">
        <v>3243</v>
      </c>
      <c r="F564" s="4660"/>
      <c r="G564" s="4660"/>
      <c r="H564" s="4660"/>
    </row>
    <row r="565" spans="1:11" ht="12.75" customHeight="1">
      <c r="C565" s="1515"/>
      <c r="D565" s="1513" t="s">
        <v>3104</v>
      </c>
      <c r="E565" s="4662" t="s">
        <v>3244</v>
      </c>
      <c r="F565" s="4662"/>
      <c r="G565" s="4662"/>
      <c r="H565" s="4662"/>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4294</v>
      </c>
      <c r="E569" s="4660" t="s">
        <v>3243</v>
      </c>
      <c r="F569" s="4660"/>
      <c r="G569" s="4660"/>
      <c r="H569" s="4660"/>
    </row>
    <row r="570" spans="1:11" ht="12.75" customHeight="1">
      <c r="C570" s="1515"/>
      <c r="D570" s="1513" t="s">
        <v>3104</v>
      </c>
      <c r="E570" s="4662" t="s">
        <v>3244</v>
      </c>
      <c r="F570" s="4662"/>
      <c r="G570" s="4662"/>
      <c r="H570" s="4662"/>
    </row>
    <row r="571" spans="1:11" ht="6" customHeight="1">
      <c r="D571" s="746"/>
      <c r="E571" s="1511"/>
      <c r="F571" s="1511"/>
      <c r="G571" s="1511"/>
      <c r="H571" s="1511"/>
    </row>
    <row r="572" spans="1:11">
      <c r="A572" s="717" t="s">
        <v>3100</v>
      </c>
      <c r="B572" s="744" t="str">
        <f>IF('Part VI-Revenues &amp; Expenses'!$O$56=0,"",'Part VI-Revenues &amp; Expenses'!$O$56)</f>
        <v/>
      </c>
      <c r="C572" s="717" t="s">
        <v>4292</v>
      </c>
      <c r="D572" s="745" t="s">
        <v>4293</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3243</v>
      </c>
      <c r="F576" s="4660"/>
      <c r="G576" s="4660"/>
      <c r="H576" s="4660"/>
    </row>
    <row r="577" spans="4:8" ht="12.75" customHeight="1">
      <c r="D577" s="749" t="s">
        <v>3104</v>
      </c>
      <c r="E577" s="4660" t="s">
        <v>3244</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Dunbar Court</v>
      </c>
    </row>
    <row r="2" spans="1:14">
      <c r="A2" s="636" t="s">
        <v>3002</v>
      </c>
      <c r="H2" s="699" t="str">
        <f>'Sensitivity Analysis'!E8</f>
        <v>2021-014</v>
      </c>
    </row>
    <row r="3" spans="1:14" ht="3" customHeight="1"/>
    <row r="4" spans="1:14" ht="69.599999999999994" customHeight="1">
      <c r="A4" s="4663" t="s">
        <v>3098</v>
      </c>
      <c r="B4" s="4663"/>
      <c r="C4" s="4663"/>
      <c r="D4" s="4663"/>
      <c r="E4" s="4663"/>
      <c r="F4" s="4663"/>
      <c r="G4" s="4663"/>
      <c r="H4" s="4663"/>
      <c r="I4" s="4663"/>
      <c r="J4" s="4663"/>
      <c r="K4" s="4663"/>
      <c r="L4" s="4670">
        <f>SUM('Part VII-Pro Forma'!B15:B17)/12</f>
        <v>26883.323999999997</v>
      </c>
      <c r="M4" s="4670"/>
      <c r="N4" s="1568" t="s">
        <v>3817</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3" t="s">
        <v>3004</v>
      </c>
      <c r="D7" s="4663"/>
      <c r="E7" s="4663"/>
      <c r="F7" s="4663"/>
      <c r="G7" s="4663"/>
      <c r="H7" s="4663"/>
      <c r="I7" s="4663"/>
      <c r="J7" s="4663"/>
      <c r="K7" s="4663"/>
      <c r="L7" s="4663"/>
      <c r="M7" s="4663"/>
    </row>
    <row r="8" spans="1:14" ht="3" customHeight="1"/>
    <row r="9" spans="1:14">
      <c r="A9" s="699" t="s">
        <v>3005</v>
      </c>
    </row>
    <row r="10" spans="1:14" ht="1.5" customHeight="1"/>
    <row r="11" spans="1:14" ht="26.25" customHeight="1">
      <c r="A11" s="743" t="s">
        <v>1893</v>
      </c>
      <c r="B11" s="4663" t="s">
        <v>3095</v>
      </c>
      <c r="C11" s="4663"/>
      <c r="D11" s="4663"/>
      <c r="E11" s="4663"/>
      <c r="F11" s="4663"/>
      <c r="G11" s="4663"/>
      <c r="H11" s="4663"/>
      <c r="I11" s="4663"/>
      <c r="J11" s="4663"/>
      <c r="K11" s="4663"/>
      <c r="L11" s="4664">
        <f>'Part III-Sources of Funds'!I51+'Part III-Sources of Funds'!I52</f>
        <v>11159235</v>
      </c>
      <c r="M11" s="4664"/>
    </row>
    <row r="12" spans="1:14" ht="1.5" customHeight="1">
      <c r="G12" s="712"/>
      <c r="H12" s="712"/>
    </row>
    <row r="13" spans="1:14" ht="25.9" customHeight="1">
      <c r="A13" s="743" t="s">
        <v>1895</v>
      </c>
      <c r="B13" s="4663" t="s">
        <v>3096</v>
      </c>
      <c r="C13" s="4663"/>
      <c r="D13" s="4663"/>
      <c r="E13" s="4663"/>
      <c r="F13" s="4663"/>
      <c r="G13" s="4663"/>
      <c r="H13" s="4663"/>
      <c r="I13" s="4663"/>
      <c r="J13" s="4663"/>
      <c r="K13" s="4663"/>
      <c r="L13" s="4665" t="s">
        <v>2933</v>
      </c>
      <c r="M13" s="4665"/>
    </row>
    <row r="14" spans="1:14">
      <c r="A14" s="743"/>
      <c r="B14" s="4492"/>
      <c r="C14" s="4492"/>
      <c r="D14" s="4492"/>
      <c r="E14" s="4492"/>
      <c r="F14" s="4492"/>
      <c r="G14" s="4492"/>
      <c r="H14" s="4492"/>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92" t="s">
        <v>2625</v>
      </c>
      <c r="M18" s="4492"/>
    </row>
    <row r="19" spans="1:19" ht="12" hidden="1" customHeight="1">
      <c r="B19" s="4492"/>
      <c r="C19" s="4492"/>
      <c r="D19" s="4492"/>
      <c r="E19" s="4492"/>
      <c r="F19" s="4492"/>
      <c r="G19" s="4492"/>
      <c r="H19" s="4492"/>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7" t="s">
        <v>4291</v>
      </c>
      <c r="B23" s="4677"/>
      <c r="C23" s="4677"/>
      <c r="D23" s="4677"/>
      <c r="E23" s="4677"/>
      <c r="F23" s="4677"/>
      <c r="G23" s="4677"/>
      <c r="H23" s="4677"/>
      <c r="I23" s="4677"/>
      <c r="J23" s="4677"/>
      <c r="K23" s="4677"/>
      <c r="L23" s="4677"/>
      <c r="M23" s="467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3831</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3832</v>
      </c>
      <c r="D26" s="1645"/>
      <c r="E26" s="1657">
        <f>'Part VI-Revenues &amp; Expenses'!K57</f>
        <v>0</v>
      </c>
      <c r="F26" s="1658">
        <f>'Part VI-Revenues &amp; Expenses'!L57</f>
        <v>1</v>
      </c>
      <c r="G26" s="1658">
        <f>'Part VI-Revenues &amp; Expenses'!M57</f>
        <v>3</v>
      </c>
      <c r="H26" s="1658">
        <f>'Part VI-Revenues &amp; Expenses'!N57</f>
        <v>2</v>
      </c>
      <c r="I26" s="1658">
        <f>'Part VI-Revenues &amp; Expenses'!O57</f>
        <v>0</v>
      </c>
      <c r="J26" s="1659">
        <f>'Part VI-Revenues &amp; Expenses'!P57</f>
        <v>6</v>
      </c>
    </row>
    <row r="27" spans="1:19" s="498" customFormat="1" ht="15" customHeight="1">
      <c r="C27" s="1653" t="s">
        <v>1107</v>
      </c>
      <c r="D27" s="1645"/>
      <c r="E27" s="1657">
        <f>'Part VI-Revenues &amp; Expenses'!K58</f>
        <v>0</v>
      </c>
      <c r="F27" s="1658">
        <f>'Part VI-Revenues &amp; Expenses'!L58</f>
        <v>4</v>
      </c>
      <c r="G27" s="1658">
        <f>'Part VI-Revenues &amp; Expenses'!M58</f>
        <v>13</v>
      </c>
      <c r="H27" s="1658">
        <f>'Part VI-Revenues &amp; Expenses'!N58</f>
        <v>9</v>
      </c>
      <c r="I27" s="1658">
        <f>'Part VI-Revenues &amp; Expenses'!O58</f>
        <v>0</v>
      </c>
      <c r="J27" s="1659">
        <f>'Part VI-Revenues &amp; Expenses'!P58</f>
        <v>26</v>
      </c>
    </row>
    <row r="28" spans="1:19" s="498" customFormat="1" ht="15" customHeight="1">
      <c r="C28" s="1653" t="s">
        <v>111</v>
      </c>
      <c r="D28" s="1645"/>
      <c r="E28" s="1657">
        <f>'Part VI-Revenues &amp; Expenses'!K59</f>
        <v>0</v>
      </c>
      <c r="F28" s="1658">
        <f>'Part VI-Revenues &amp; Expenses'!L59</f>
        <v>3</v>
      </c>
      <c r="G28" s="1658">
        <f>'Part VI-Revenues &amp; Expenses'!M59</f>
        <v>8</v>
      </c>
      <c r="H28" s="1658">
        <f>'Part VI-Revenues &amp; Expenses'!N59</f>
        <v>5</v>
      </c>
      <c r="I28" s="1658">
        <f>'Part VI-Revenues &amp; Expenses'!O59</f>
        <v>0</v>
      </c>
      <c r="J28" s="1659">
        <f>'Part VI-Revenues &amp; Expenses'!P59</f>
        <v>16</v>
      </c>
    </row>
    <row r="29" spans="1:19" s="498" customFormat="1" ht="13.15" customHeight="1">
      <c r="C29" s="1653" t="s">
        <v>3833</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3834</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3835</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8</v>
      </c>
      <c r="G32" s="1651">
        <f>'Part VI-Revenues &amp; Expenses'!M63</f>
        <v>24</v>
      </c>
      <c r="H32" s="1651">
        <f>'Part VI-Revenues &amp; Expenses'!N63</f>
        <v>16</v>
      </c>
      <c r="I32" s="1651">
        <f>'Part VI-Revenues &amp; Expenses'!O63</f>
        <v>0</v>
      </c>
      <c r="J32" s="1661">
        <f>'Part VI-Revenues &amp; Expenses'!P63</f>
        <v>48</v>
      </c>
    </row>
    <row r="33" spans="1:12" s="498" customFormat="1" ht="13.15" customHeight="1" thickBot="1">
      <c r="K33" s="1638"/>
    </row>
    <row r="34" spans="1:12" s="498" customFormat="1" ht="14.25" customHeight="1" thickBot="1">
      <c r="A34" s="1638"/>
      <c r="B34" s="4678" t="s">
        <v>6422</v>
      </c>
      <c r="E34" s="4679" t="s">
        <v>6277</v>
      </c>
      <c r="F34" s="4680"/>
      <c r="G34" s="4680"/>
      <c r="H34" s="4680"/>
      <c r="I34" s="4680"/>
      <c r="J34" s="4680"/>
      <c r="K34" s="4680"/>
      <c r="L34" s="4681"/>
    </row>
    <row r="35" spans="1:12" s="498" customFormat="1" ht="14.25" customHeight="1">
      <c r="A35" s="1638"/>
      <c r="B35" s="4678"/>
      <c r="C35" s="4682" t="s">
        <v>6423</v>
      </c>
      <c r="D35" s="4678" t="s">
        <v>6424</v>
      </c>
      <c r="E35" s="4683" t="s">
        <v>6280</v>
      </c>
      <c r="F35" s="4684"/>
      <c r="G35" s="4687" t="s">
        <v>1304</v>
      </c>
      <c r="H35" s="4689" t="s">
        <v>6276</v>
      </c>
      <c r="I35" s="4690"/>
      <c r="J35" s="4690"/>
      <c r="K35" s="4690"/>
      <c r="L35" s="4691"/>
    </row>
    <row r="36" spans="1:12" s="498" customFormat="1" ht="23.25" customHeight="1">
      <c r="A36" s="4682" t="s">
        <v>1000</v>
      </c>
      <c r="B36" s="4678"/>
      <c r="C36" s="4682"/>
      <c r="D36" s="4678"/>
      <c r="E36" s="4685"/>
      <c r="F36" s="4686"/>
      <c r="G36" s="4688"/>
      <c r="H36" s="4692" t="s">
        <v>6278</v>
      </c>
      <c r="I36" s="4693"/>
      <c r="J36" s="4696" t="s">
        <v>1304</v>
      </c>
      <c r="K36" s="4693" t="s">
        <v>6279</v>
      </c>
      <c r="L36" s="4698"/>
    </row>
    <row r="37" spans="1:12" s="498" customFormat="1" ht="23.25" customHeight="1">
      <c r="A37" s="4682"/>
      <c r="B37" s="4678"/>
      <c r="C37" s="4682"/>
      <c r="D37" s="4678"/>
      <c r="E37" s="4685"/>
      <c r="F37" s="4686"/>
      <c r="G37" s="4688"/>
      <c r="H37" s="4692"/>
      <c r="I37" s="4693"/>
      <c r="J37" s="4697"/>
      <c r="K37" s="4693"/>
      <c r="L37" s="4698"/>
    </row>
    <row r="38" spans="1:12" s="498" customFormat="1" ht="23.25" customHeight="1">
      <c r="A38" s="4678"/>
      <c r="B38" s="4678"/>
      <c r="C38" s="4678"/>
      <c r="D38" s="4678"/>
      <c r="E38" s="4685"/>
      <c r="F38" s="4686"/>
      <c r="G38" s="4688"/>
      <c r="H38" s="4694"/>
      <c r="I38" s="4695"/>
      <c r="J38" s="4697"/>
      <c r="K38" s="4695"/>
      <c r="L38" s="4699"/>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811</v>
      </c>
      <c r="E39" s="4675">
        <f>'Part VI-Revenues &amp; Expenses'!H18</f>
        <v>570</v>
      </c>
      <c r="F39" s="4676"/>
      <c r="G39" s="1645"/>
      <c r="H39" s="4703"/>
      <c r="I39" s="4704"/>
      <c r="J39" s="4704"/>
      <c r="K39" s="4704"/>
      <c r="L39" s="4705"/>
    </row>
    <row r="40" spans="1:12" s="498" customFormat="1" ht="13.15" customHeight="1">
      <c r="A40" s="1646">
        <f>'Part VI-Revenues &amp; Expenses'!B19</f>
        <v>60</v>
      </c>
      <c r="B40" s="1647">
        <f>'Part VI-Revenues &amp; Expenses'!E19</f>
        <v>4</v>
      </c>
      <c r="C40" s="1648" t="str">
        <f>_xlfn.CONCAT('Part VI-Revenues &amp; Expenses'!C19," / ",'Part VI-Revenues &amp; Expenses'!D19)</f>
        <v>1 / 1</v>
      </c>
      <c r="D40" s="1647">
        <f>'Part VI-Revenues &amp; Expenses'!F19</f>
        <v>811</v>
      </c>
      <c r="E40" s="4673">
        <f>'Part VI-Revenues &amp; Expenses'!H19</f>
        <v>620</v>
      </c>
      <c r="F40" s="4674"/>
      <c r="G40" s="1645"/>
      <c r="H40" s="4700"/>
      <c r="I40" s="4701"/>
      <c r="J40" s="4701"/>
      <c r="K40" s="4701"/>
      <c r="L40" s="4702"/>
    </row>
    <row r="41" spans="1:12" s="498" customFormat="1" ht="13.15" customHeight="1">
      <c r="A41" s="1646">
        <f>'Part VI-Revenues &amp; Expenses'!B20</f>
        <v>70</v>
      </c>
      <c r="B41" s="1647">
        <f>'Part VI-Revenues &amp; Expenses'!E20</f>
        <v>1</v>
      </c>
      <c r="C41" s="1648" t="str">
        <f>_xlfn.CONCAT('Part VI-Revenues &amp; Expenses'!C20," / ",'Part VI-Revenues &amp; Expenses'!D20)</f>
        <v>1 / 1</v>
      </c>
      <c r="D41" s="1647">
        <f>'Part VI-Revenues &amp; Expenses'!F20</f>
        <v>811</v>
      </c>
      <c r="E41" s="4673">
        <f>'Part VI-Revenues &amp; Expenses'!H20</f>
        <v>655</v>
      </c>
      <c r="F41" s="4674"/>
      <c r="G41" s="1645"/>
      <c r="H41" s="4700"/>
      <c r="I41" s="4701"/>
      <c r="J41" s="4701"/>
      <c r="K41" s="4701"/>
      <c r="L41" s="4702"/>
    </row>
    <row r="42" spans="1:12" s="498" customFormat="1" ht="13.15" customHeight="1">
      <c r="A42" s="1646">
        <f>'Part VI-Revenues &amp; Expenses'!B21</f>
        <v>50</v>
      </c>
      <c r="B42" s="1647">
        <f>'Part VI-Revenues &amp; Expenses'!E21</f>
        <v>8</v>
      </c>
      <c r="C42" s="1648" t="str">
        <f>_xlfn.CONCAT('Part VI-Revenues &amp; Expenses'!C21," / ",'Part VI-Revenues &amp; Expenses'!D21)</f>
        <v>2 / 2</v>
      </c>
      <c r="D42" s="1647">
        <f>'Part VI-Revenues &amp; Expenses'!F21</f>
        <v>1051</v>
      </c>
      <c r="E42" s="4673">
        <f>'Part VI-Revenues &amp; Expenses'!H21</f>
        <v>674</v>
      </c>
      <c r="F42" s="4674"/>
      <c r="G42" s="1645"/>
      <c r="H42" s="4700"/>
      <c r="I42" s="4701"/>
      <c r="J42" s="4701"/>
      <c r="K42" s="4701"/>
      <c r="L42" s="4702"/>
    </row>
    <row r="43" spans="1:12" s="498" customFormat="1" ht="13.15" customHeight="1">
      <c r="A43" s="1646">
        <f>'Part VI-Revenues &amp; Expenses'!B22</f>
        <v>60</v>
      </c>
      <c r="B43" s="1647">
        <f>'Part VI-Revenues &amp; Expenses'!E22</f>
        <v>13</v>
      </c>
      <c r="C43" s="1648" t="str">
        <f>_xlfn.CONCAT('Part VI-Revenues &amp; Expenses'!C22," / ",'Part VI-Revenues &amp; Expenses'!D22)</f>
        <v>2 / 2</v>
      </c>
      <c r="D43" s="1647">
        <f>'Part VI-Revenues &amp; Expenses'!F22</f>
        <v>1051</v>
      </c>
      <c r="E43" s="4673">
        <f>'Part VI-Revenues &amp; Expenses'!H22</f>
        <v>724</v>
      </c>
      <c r="F43" s="4674"/>
      <c r="G43" s="1645"/>
      <c r="H43" s="4700"/>
      <c r="I43" s="4701"/>
      <c r="J43" s="4701"/>
      <c r="K43" s="4701"/>
      <c r="L43" s="4702"/>
    </row>
    <row r="44" spans="1:12" s="498" customFormat="1" ht="13.15" customHeight="1">
      <c r="A44" s="1646">
        <f>'Part VI-Revenues &amp; Expenses'!B23</f>
        <v>70</v>
      </c>
      <c r="B44" s="1647">
        <f>'Part VI-Revenues &amp; Expenses'!E23</f>
        <v>3</v>
      </c>
      <c r="C44" s="1648" t="str">
        <f>_xlfn.CONCAT('Part VI-Revenues &amp; Expenses'!C23," / ",'Part VI-Revenues &amp; Expenses'!D23)</f>
        <v>2 / 2</v>
      </c>
      <c r="D44" s="1647">
        <f>'Part VI-Revenues &amp; Expenses'!F23</f>
        <v>1051</v>
      </c>
      <c r="E44" s="4673">
        <f>'Part VI-Revenues &amp; Expenses'!H23</f>
        <v>754</v>
      </c>
      <c r="F44" s="4674"/>
      <c r="G44" s="1645"/>
      <c r="H44" s="4700"/>
      <c r="I44" s="4701"/>
      <c r="J44" s="4701"/>
      <c r="K44" s="4701"/>
      <c r="L44" s="4702"/>
    </row>
    <row r="45" spans="1:12" s="498" customFormat="1" ht="13.15" customHeight="1">
      <c r="A45" s="1646">
        <f>'Part VI-Revenues &amp; Expenses'!B24</f>
        <v>50</v>
      </c>
      <c r="B45" s="1647">
        <f>'Part VI-Revenues &amp; Expenses'!E24</f>
        <v>5</v>
      </c>
      <c r="C45" s="1648" t="str">
        <f>_xlfn.CONCAT('Part VI-Revenues &amp; Expenses'!C24," / ",'Part VI-Revenues &amp; Expenses'!D24)</f>
        <v>3 / 2</v>
      </c>
      <c r="D45" s="1647">
        <f>'Part VI-Revenues &amp; Expenses'!F24</f>
        <v>1264</v>
      </c>
      <c r="E45" s="4673">
        <f>'Part VI-Revenues &amp; Expenses'!H24</f>
        <v>783</v>
      </c>
      <c r="F45" s="4674"/>
      <c r="G45" s="1645"/>
      <c r="H45" s="4700"/>
      <c r="I45" s="4701"/>
      <c r="J45" s="4701"/>
      <c r="K45" s="4701"/>
      <c r="L45" s="4702"/>
    </row>
    <row r="46" spans="1:12" s="498" customFormat="1" ht="13.15" customHeight="1">
      <c r="A46" s="1646">
        <f>'Part VI-Revenues &amp; Expenses'!B25</f>
        <v>60</v>
      </c>
      <c r="B46" s="1647">
        <f>'Part VI-Revenues &amp; Expenses'!E25</f>
        <v>9</v>
      </c>
      <c r="C46" s="1648" t="str">
        <f>_xlfn.CONCAT('Part VI-Revenues &amp; Expenses'!C25," / ",'Part VI-Revenues &amp; Expenses'!D25)</f>
        <v>3 / 2</v>
      </c>
      <c r="D46" s="1647">
        <f>'Part VI-Revenues &amp; Expenses'!F25</f>
        <v>1264</v>
      </c>
      <c r="E46" s="4673">
        <f>'Part VI-Revenues &amp; Expenses'!H25</f>
        <v>818</v>
      </c>
      <c r="F46" s="4674"/>
      <c r="G46" s="1645"/>
      <c r="H46" s="4700"/>
      <c r="I46" s="4701"/>
      <c r="J46" s="4701"/>
      <c r="K46" s="4701"/>
      <c r="L46" s="4702"/>
    </row>
    <row r="47" spans="1:12" s="498" customFormat="1" ht="13.15" customHeight="1">
      <c r="A47" s="1646">
        <f>'Part VI-Revenues &amp; Expenses'!B26</f>
        <v>70</v>
      </c>
      <c r="B47" s="1647">
        <f>'Part VI-Revenues &amp; Expenses'!E26</f>
        <v>2</v>
      </c>
      <c r="C47" s="1648" t="str">
        <f>_xlfn.CONCAT('Part VI-Revenues &amp; Expenses'!C26," / ",'Part VI-Revenues &amp; Expenses'!D26)</f>
        <v>3 / 2</v>
      </c>
      <c r="D47" s="1647">
        <f>'Part VI-Revenues &amp; Expenses'!F26</f>
        <v>1264</v>
      </c>
      <c r="E47" s="4673">
        <f>'Part VI-Revenues &amp; Expenses'!H26</f>
        <v>848</v>
      </c>
      <c r="F47" s="4674"/>
      <c r="G47" s="1645"/>
      <c r="H47" s="4700"/>
      <c r="I47" s="4701"/>
      <c r="J47" s="4701"/>
      <c r="K47" s="4701"/>
      <c r="L47" s="470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700"/>
      <c r="I48" s="4701"/>
      <c r="J48" s="4701"/>
      <c r="K48" s="4701"/>
      <c r="L48" s="470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700"/>
      <c r="I49" s="4701"/>
      <c r="J49" s="4701"/>
      <c r="K49" s="4701"/>
      <c r="L49" s="470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700"/>
      <c r="I50" s="4701"/>
      <c r="J50" s="4701"/>
      <c r="K50" s="4701"/>
      <c r="L50" s="470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700"/>
      <c r="I51" s="4701"/>
      <c r="J51" s="4701"/>
      <c r="K51" s="4701"/>
      <c r="L51" s="470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700"/>
      <c r="I52" s="4701"/>
      <c r="J52" s="4701"/>
      <c r="K52" s="4701"/>
      <c r="L52" s="470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700"/>
      <c r="I53" s="4701"/>
      <c r="J53" s="4701"/>
      <c r="K53" s="4701"/>
      <c r="L53" s="470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700"/>
      <c r="I54" s="4701"/>
      <c r="J54" s="4701"/>
      <c r="K54" s="4701"/>
      <c r="L54" s="470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700"/>
      <c r="I55" s="4701"/>
      <c r="J55" s="4701"/>
      <c r="K55" s="4701"/>
      <c r="L55" s="470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700"/>
      <c r="I56" s="4701"/>
      <c r="J56" s="4701"/>
      <c r="K56" s="4701"/>
      <c r="L56" s="470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700"/>
      <c r="I57" s="4701"/>
      <c r="J57" s="4701"/>
      <c r="K57" s="4701"/>
      <c r="L57" s="470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700"/>
      <c r="I58" s="4701"/>
      <c r="J58" s="4701"/>
      <c r="K58" s="4701"/>
      <c r="L58" s="470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700"/>
      <c r="I59" s="4701"/>
      <c r="J59" s="4701"/>
      <c r="K59" s="4701"/>
      <c r="L59" s="470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700"/>
      <c r="I60" s="4701"/>
      <c r="J60" s="4701"/>
      <c r="K60" s="4701"/>
      <c r="L60" s="470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700"/>
      <c r="I61" s="4701"/>
      <c r="J61" s="4701"/>
      <c r="K61" s="4701"/>
      <c r="L61" s="470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700"/>
      <c r="I62" s="4701"/>
      <c r="J62" s="4701"/>
      <c r="K62" s="4701"/>
      <c r="L62" s="470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700"/>
      <c r="I63" s="4701"/>
      <c r="J63" s="4701"/>
      <c r="K63" s="4701"/>
      <c r="L63" s="470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700"/>
      <c r="I64" s="4701"/>
      <c r="J64" s="4701"/>
      <c r="K64" s="4701"/>
      <c r="L64" s="470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700"/>
      <c r="I65" s="4701"/>
      <c r="J65" s="4701"/>
      <c r="K65" s="4701"/>
      <c r="L65" s="470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700"/>
      <c r="I66" s="4701"/>
      <c r="J66" s="4701"/>
      <c r="K66" s="4701"/>
      <c r="L66" s="470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700"/>
      <c r="I67" s="4701"/>
      <c r="J67" s="4701"/>
      <c r="K67" s="4701"/>
      <c r="L67" s="470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700"/>
      <c r="I68" s="4701"/>
      <c r="J68" s="4701"/>
      <c r="K68" s="4701"/>
      <c r="L68" s="470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1">
        <f>'Part VI-Revenues &amp; Expenses'!H48</f>
        <v>0</v>
      </c>
      <c r="F69" s="4672"/>
      <c r="G69" s="1652"/>
      <c r="H69" s="4706"/>
      <c r="I69" s="4707"/>
      <c r="J69" s="4707"/>
      <c r="K69" s="4707"/>
      <c r="L69" s="470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4" t="s">
        <v>3633</v>
      </c>
      <c r="C1" s="4724"/>
      <c r="D1" s="4724"/>
      <c r="E1" s="4724"/>
      <c r="F1" s="4724"/>
      <c r="G1" s="4724"/>
      <c r="H1" s="4724"/>
      <c r="I1" s="4724"/>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5" t="s">
        <v>3009</v>
      </c>
      <c r="C4" s="4725"/>
      <c r="D4" s="4725"/>
      <c r="E4" s="4731" t="s">
        <v>3010</v>
      </c>
      <c r="F4" s="4733"/>
      <c r="G4" s="4731" t="s">
        <v>587</v>
      </c>
      <c r="H4" s="4732"/>
      <c r="I4" s="4733"/>
      <c r="J4" s="1107" t="s">
        <v>2858</v>
      </c>
      <c r="K4" s="1107"/>
      <c r="L4" s="1115"/>
      <c r="M4" s="1115"/>
    </row>
    <row r="5" spans="2:13">
      <c r="B5" s="4726" t="str">
        <f>'Closing term sheet'!C8</f>
        <v>Dunbar Court, LP</v>
      </c>
      <c r="C5" s="4727"/>
      <c r="D5" s="4727"/>
      <c r="E5" s="4737"/>
      <c r="F5" s="4738"/>
      <c r="G5" s="4734" t="str">
        <f>'Closing term sheet'!C28</f>
        <v>Dunbar Court</v>
      </c>
      <c r="H5" s="4735"/>
      <c r="I5" s="4736"/>
      <c r="K5" s="699"/>
    </row>
    <row r="6" spans="2:13" ht="4.5" customHeight="1">
      <c r="D6" s="1116"/>
      <c r="E6" s="1116"/>
      <c r="F6" s="1116"/>
      <c r="G6" s="1116"/>
      <c r="H6" s="1116"/>
      <c r="I6" s="1116"/>
      <c r="K6" s="699"/>
    </row>
    <row r="7" spans="2:13">
      <c r="B7" s="4728" t="s">
        <v>3011</v>
      </c>
      <c r="C7" s="4728"/>
      <c r="D7" s="1117"/>
      <c r="E7" s="1117"/>
      <c r="F7" s="1117"/>
      <c r="G7" s="1117"/>
      <c r="H7" s="4729" t="str">
        <f>'Preview term'!E9</f>
        <v>TBD</v>
      </c>
      <c r="I7" s="4730"/>
    </row>
    <row r="8" spans="2:13" ht="4.5" customHeight="1">
      <c r="B8" s="1117"/>
      <c r="C8" s="1117"/>
      <c r="D8" s="1117"/>
      <c r="E8" s="1117"/>
      <c r="F8" s="1117"/>
      <c r="G8" s="1117"/>
      <c r="H8" s="1117"/>
      <c r="I8" s="1117"/>
      <c r="J8" s="1117"/>
    </row>
    <row r="9" spans="2:13">
      <c r="B9" s="1118" t="s">
        <v>3012</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3624</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09" t="s">
        <v>3641</v>
      </c>
      <c r="I35" s="4710"/>
    </row>
    <row r="36" spans="2:9">
      <c r="B36" s="1144" t="s">
        <v>3640</v>
      </c>
      <c r="C36" s="1142"/>
      <c r="D36" s="1142"/>
      <c r="E36" s="1117"/>
      <c r="F36" s="1340"/>
      <c r="G36" s="1145"/>
      <c r="H36" s="4709"/>
      <c r="I36" s="4710"/>
    </row>
    <row r="37" spans="2:9">
      <c r="B37" s="1144" t="s">
        <v>3638</v>
      </c>
      <c r="D37" s="1142"/>
      <c r="E37" s="1117"/>
      <c r="F37" s="1341"/>
      <c r="G37" s="1145"/>
      <c r="H37" s="4709"/>
      <c r="I37" s="4710"/>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3024</v>
      </c>
      <c r="C48" s="1142"/>
      <c r="D48" s="1142" t="s">
        <v>3025</v>
      </c>
      <c r="E48" s="1117"/>
      <c r="F48" s="4718" t="str">
        <f>'Closing term sheet'!$C$30</f>
        <v>New Dunbar Road</v>
      </c>
      <c r="G48" s="4719"/>
      <c r="H48" s="4719"/>
      <c r="I48" s="4720"/>
    </row>
    <row r="49" spans="2:9">
      <c r="B49" s="1133" t="s">
        <v>3026</v>
      </c>
      <c r="D49" s="1142" t="s">
        <v>3027</v>
      </c>
      <c r="E49" s="1117"/>
      <c r="F49" s="4721"/>
      <c r="G49" s="4722"/>
      <c r="H49" s="4722"/>
      <c r="I49" s="4723"/>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41" t="str">
        <f>'Part I-Project Information'!F39</f>
        <v>Byron</v>
      </c>
      <c r="D52" s="4742"/>
      <c r="E52" s="1159" t="s">
        <v>3644</v>
      </c>
      <c r="F52" s="1119" t="s">
        <v>815</v>
      </c>
      <c r="G52" s="1159" t="s">
        <v>3645</v>
      </c>
      <c r="H52" s="1160">
        <f>'Part I-Project Information'!J39</f>
        <v>310086337</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3029</v>
      </c>
      <c r="G55" s="1117"/>
      <c r="H55" s="1117"/>
      <c r="I55" s="1127"/>
    </row>
    <row r="56" spans="2:9">
      <c r="B56" s="1151" t="s">
        <v>3811</v>
      </c>
      <c r="D56" s="1164">
        <f>'Closing term sheet'!$D$63</f>
        <v>7662012</v>
      </c>
      <c r="E56" s="1165"/>
      <c r="F56" s="719" t="s">
        <v>3030</v>
      </c>
      <c r="G56" s="1117"/>
      <c r="H56" s="1117"/>
      <c r="I56" s="1127"/>
    </row>
    <row r="57" spans="2:9">
      <c r="B57" s="1144" t="s">
        <v>3810</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6" t="s">
        <v>3032</v>
      </c>
      <c r="C61" s="4747"/>
      <c r="D61" s="4747"/>
      <c r="E61" s="4747"/>
      <c r="F61" s="4747"/>
      <c r="G61" s="4747"/>
      <c r="H61" s="4747"/>
      <c r="I61" s="4748"/>
    </row>
    <row r="62" spans="2:9" ht="7.5" customHeight="1">
      <c r="B62" s="4743"/>
      <c r="C62" s="4744"/>
      <c r="D62" s="4744"/>
      <c r="E62" s="1117"/>
      <c r="F62" s="1117"/>
      <c r="G62" s="1167"/>
      <c r="H62" s="1117"/>
      <c r="I62" s="1127"/>
    </row>
    <row r="63" spans="2:9">
      <c r="B63" s="1168" t="s">
        <v>3034</v>
      </c>
      <c r="C63" s="1117"/>
      <c r="D63" s="1162">
        <v>4</v>
      </c>
      <c r="F63" s="1117"/>
      <c r="G63" s="4728" t="s">
        <v>3033</v>
      </c>
      <c r="H63" s="4728"/>
      <c r="I63" s="4745"/>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6" t="s">
        <v>3045</v>
      </c>
      <c r="C81" s="4747"/>
      <c r="D81" s="4747"/>
      <c r="E81" s="4747"/>
      <c r="F81" s="4747"/>
      <c r="G81" s="4747"/>
      <c r="H81" s="4747"/>
      <c r="I81" s="4748"/>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4">
        <f>'Closing term sheet'!D63</f>
        <v>7662012</v>
      </c>
      <c r="G84" s="4714"/>
      <c r="H84" s="1117"/>
      <c r="I84" s="1127"/>
    </row>
    <row r="85" spans="2:9">
      <c r="B85" s="1125"/>
      <c r="C85" s="739" t="s">
        <v>3048</v>
      </c>
      <c r="D85" s="1117"/>
      <c r="E85" s="1117"/>
      <c r="F85" s="4740">
        <f>'Part III-Sources of Funds'!I47+'Part III-Sources of Funds'!L47</f>
        <v>17375.206997834481</v>
      </c>
      <c r="G85" s="4740"/>
      <c r="H85" s="1117"/>
      <c r="I85" s="1127"/>
    </row>
    <row r="86" spans="2:9">
      <c r="B86" s="1125"/>
      <c r="C86" s="739" t="s">
        <v>3049</v>
      </c>
      <c r="D86" s="1117"/>
      <c r="E86" s="1117"/>
      <c r="F86" s="4739"/>
      <c r="G86" s="4739"/>
      <c r="H86" s="1117"/>
      <c r="I86" s="1127"/>
    </row>
    <row r="87" spans="2:9">
      <c r="B87" s="1125"/>
      <c r="C87" s="1142" t="s">
        <v>3050</v>
      </c>
      <c r="D87" s="1117"/>
      <c r="E87" s="1117"/>
      <c r="F87" s="4740">
        <v>11000</v>
      </c>
      <c r="G87" s="4740"/>
      <c r="H87" s="1117"/>
      <c r="I87" s="1127"/>
    </row>
    <row r="88" spans="2:9">
      <c r="B88" s="1125"/>
      <c r="C88" s="739" t="s">
        <v>3051</v>
      </c>
      <c r="D88" s="1117"/>
      <c r="E88" s="1117"/>
      <c r="F88" s="4717"/>
      <c r="G88" s="4717"/>
      <c r="H88" s="1117"/>
      <c r="I88" s="1127"/>
    </row>
    <row r="89" spans="2:9">
      <c r="B89" s="1125"/>
      <c r="C89" s="719" t="s">
        <v>3052</v>
      </c>
      <c r="D89" s="1117"/>
      <c r="E89" s="1117"/>
      <c r="F89" s="4712">
        <f>SUM(F84:G88)</f>
        <v>7690387.2069978341</v>
      </c>
      <c r="G89" s="4712"/>
      <c r="H89" s="1117"/>
      <c r="I89" s="1127"/>
    </row>
    <row r="90" spans="2:9">
      <c r="B90" s="1125"/>
      <c r="C90" s="1117"/>
      <c r="D90" s="1117"/>
      <c r="E90" s="1117"/>
      <c r="F90" s="4713"/>
      <c r="G90" s="4713"/>
      <c r="H90" s="1117"/>
      <c r="I90" s="1127"/>
    </row>
    <row r="91" spans="2:9">
      <c r="B91" s="1128" t="s">
        <v>3053</v>
      </c>
      <c r="C91" s="1117"/>
      <c r="D91" s="1117"/>
      <c r="E91" s="1117"/>
      <c r="F91" s="1117"/>
      <c r="G91" s="1117"/>
      <c r="H91" s="1117"/>
      <c r="I91" s="1127"/>
    </row>
    <row r="92" spans="2:9">
      <c r="B92" s="1125"/>
      <c r="C92" s="739" t="s">
        <v>3054</v>
      </c>
      <c r="D92" s="1117"/>
      <c r="E92" s="1117"/>
      <c r="F92" s="4714"/>
      <c r="G92" s="4714"/>
      <c r="H92" s="1117"/>
      <c r="I92" s="1127"/>
    </row>
    <row r="93" spans="2:9">
      <c r="B93" s="1125"/>
      <c r="C93" s="739" t="s">
        <v>3055</v>
      </c>
      <c r="D93" s="1117"/>
      <c r="E93" s="1117"/>
      <c r="F93" s="4715"/>
      <c r="G93" s="4715"/>
      <c r="H93" s="1117"/>
      <c r="I93" s="1127"/>
    </row>
    <row r="94" spans="2:9">
      <c r="B94" s="1125"/>
      <c r="C94" s="739" t="s">
        <v>3056</v>
      </c>
      <c r="D94" s="1117"/>
      <c r="E94" s="1117"/>
      <c r="F94" s="4716" t="s">
        <v>2933</v>
      </c>
      <c r="G94" s="4711"/>
      <c r="H94" s="1117"/>
      <c r="I94" s="1127"/>
    </row>
    <row r="95" spans="2:9">
      <c r="B95" s="1125"/>
      <c r="C95" s="719" t="s">
        <v>3057</v>
      </c>
      <c r="D95" s="1117"/>
      <c r="E95" s="1117"/>
      <c r="F95" s="4712">
        <f>+SUM(F92:G94)</f>
        <v>0</v>
      </c>
      <c r="G95" s="4712"/>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4"/>
      <c r="G98" s="4714"/>
      <c r="H98" s="1117"/>
      <c r="I98" s="1127"/>
    </row>
    <row r="99" spans="2:9">
      <c r="B99" s="1125"/>
      <c r="C99" s="739" t="s">
        <v>3060</v>
      </c>
      <c r="D99" s="1117"/>
      <c r="E99" s="1117"/>
      <c r="F99" s="4715"/>
      <c r="G99" s="4715"/>
      <c r="H99" s="1117"/>
      <c r="I99" s="1127"/>
    </row>
    <row r="100" spans="2:9">
      <c r="B100" s="1125"/>
      <c r="C100" s="739" t="s">
        <v>3061</v>
      </c>
      <c r="D100" s="1117"/>
      <c r="E100" s="1117"/>
      <c r="F100" s="4717"/>
      <c r="G100" s="4717"/>
      <c r="H100" s="1117"/>
      <c r="I100" s="1127"/>
    </row>
    <row r="101" spans="2:9">
      <c r="B101" s="1125"/>
      <c r="C101" s="719" t="s">
        <v>3062</v>
      </c>
      <c r="D101" s="1117"/>
      <c r="E101" s="1117"/>
      <c r="F101" s="4712">
        <f>+SUM(F98:G100)</f>
        <v>0</v>
      </c>
      <c r="G101" s="4712"/>
      <c r="H101" s="1117"/>
      <c r="I101" s="1127"/>
    </row>
    <row r="102" spans="2:9">
      <c r="B102" s="1125"/>
      <c r="C102" s="1117"/>
      <c r="D102" s="1117"/>
      <c r="E102" s="1117"/>
      <c r="F102" s="1117"/>
      <c r="G102" s="1117"/>
      <c r="H102" s="1117"/>
      <c r="I102" s="1127"/>
    </row>
    <row r="103" spans="2:9">
      <c r="B103" s="1168" t="s">
        <v>3063</v>
      </c>
      <c r="C103" s="739"/>
      <c r="D103" s="1117"/>
      <c r="E103" s="1117"/>
      <c r="F103" s="4711">
        <f>'Part III-Sources of Funds'!I48+'Part III-Sources of Funds'!I49</f>
        <v>0</v>
      </c>
      <c r="G103" s="4711"/>
      <c r="H103" s="1117"/>
      <c r="I103" s="1127"/>
    </row>
    <row r="104" spans="2:9">
      <c r="B104" s="1125"/>
      <c r="C104" s="1117"/>
      <c r="D104" s="1117"/>
      <c r="E104" s="1117"/>
      <c r="F104" s="1117"/>
      <c r="G104" s="1117"/>
      <c r="H104" s="1117"/>
      <c r="I104" s="1173" t="s">
        <v>3064</v>
      </c>
    </row>
    <row r="105" spans="2:9">
      <c r="B105" s="1128" t="s">
        <v>3065</v>
      </c>
      <c r="C105" s="1117"/>
      <c r="D105" s="1117"/>
      <c r="E105" s="1117"/>
      <c r="F105" s="4711">
        <f>+F103+F101+F95+F89</f>
        <v>7690387.2069978341</v>
      </c>
      <c r="G105" s="4711"/>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I1757" zoomScale="118" zoomScaleNormal="118" workbookViewId="0">
      <selection activeCell="I1757" sqref="A1:XFD1048576"/>
    </sheetView>
  </sheetViews>
  <sheetFormatPr defaultColWidth="9.140625" defaultRowHeight="12.75"/>
  <cols>
    <col min="1" max="1" width="9.7109375" style="1924" bestFit="1" customWidth="1"/>
    <col min="2" max="6" width="11.710937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4" width="9.7109375" style="1924" bestFit="1" customWidth="1"/>
    <col min="15" max="15" width="12.42578125" style="1924" bestFit="1" customWidth="1"/>
    <col min="16" max="16" width="15.42578125" style="1924" bestFit="1" customWidth="1"/>
    <col min="17" max="17" width="11.85546875" style="1924" bestFit="1" customWidth="1"/>
    <col min="18"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Dunbar Court</v>
      </c>
    </row>
    <row r="3" spans="1:6" s="1852" customFormat="1" ht="15" customHeight="1">
      <c r="A3" s="1853" t="str">
        <f>CONCATENATE('Part I-Project Information'!F39,", ", 'Part I-Project Information'!J40," County")</f>
        <v>Byron, Peach County</v>
      </c>
    </row>
    <row r="4" spans="1:6" s="1852" customFormat="1" ht="12" customHeight="1"/>
    <row r="5" spans="1:6" s="1852" customFormat="1" ht="12.75" customHeight="1">
      <c r="A5" s="1854" t="str">
        <f>'Project Narrative'!A5</f>
        <v xml:space="preserve">Dunbar Court is a proposed family community in the City of Byron, Peach County. The selected location is 10.10 acres on New Dunbar Road and is planned to be a 48-unit community of two story garden designed development with 96 surface parking spaces. The conceptual site plans is for 3 buildings and a community building. Exterior amenities will include a covered porch with seating, a picnic pavilion and a playground. Interior amenities will include seating areas for socializing, a community kitchen with appliances, a technology center with computers and access to the internet, a fitness center with a variety of equipment, and a property manager's office.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to the project team have occurred since the pre-application submission. </v>
      </c>
      <c r="B5" s="1855" t="s">
        <v>4081</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6282</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7060</v>
      </c>
      <c r="L30" s="1857"/>
      <c r="P30" s="1860" t="s">
        <v>3429</v>
      </c>
      <c r="Z30" s="1857">
        <v>6</v>
      </c>
    </row>
    <row r="31" spans="1:26" s="1856" customFormat="1" ht="12" customHeight="1">
      <c r="B31" s="1861" t="str">
        <f>'Part I-Project Information'!B7</f>
        <v>2021 Core Application</v>
      </c>
      <c r="C31" s="1862"/>
      <c r="D31" s="1862"/>
      <c r="E31" s="1818"/>
      <c r="F31" s="1857"/>
      <c r="G31" s="1859" t="s">
        <v>7061</v>
      </c>
      <c r="H31" s="1857"/>
      <c r="I31" s="1857"/>
      <c r="J31" s="1857"/>
      <c r="O31" s="1863" t="str">
        <f>'Part I-Project Information'!O7</f>
        <v>2021-014</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3346</v>
      </c>
      <c r="J36" s="1856" t="s">
        <v>7062</v>
      </c>
      <c r="L36" s="1857"/>
      <c r="O36" s="1863" t="str">
        <f>'Part I-Project Information'!O12</f>
        <v>2021PA-058</v>
      </c>
      <c r="P36" s="1863"/>
      <c r="Z36" s="1857">
        <v>12</v>
      </c>
    </row>
    <row r="37" spans="1:26" s="1856" customFormat="1" ht="12.75" customHeight="1">
      <c r="A37" s="1857"/>
      <c r="B37" s="1865"/>
      <c r="C37" s="1865"/>
      <c r="D37" s="1865"/>
      <c r="E37" s="1865"/>
      <c r="H37" s="1857"/>
      <c r="J37" s="1859" t="s">
        <v>6999</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4287</v>
      </c>
      <c r="C39" s="1865"/>
      <c r="D39" s="1865"/>
      <c r="E39" s="1865"/>
      <c r="F39" s="1871" t="str">
        <f>'Part I-Project Information'!F15</f>
        <v>No</v>
      </c>
      <c r="G39" s="1858" t="s">
        <v>4288</v>
      </c>
      <c r="N39" s="1869" t="str">
        <f>'Part I-Project Information'!N15</f>
        <v>&lt;&lt;Select previous Application Type&gt;&gt;</v>
      </c>
      <c r="O39" s="1869"/>
      <c r="P39" s="1869"/>
      <c r="Z39" s="1857">
        <v>15</v>
      </c>
    </row>
    <row r="40" spans="1:26" s="1856" customFormat="1" ht="12.75" customHeight="1">
      <c r="A40" s="1857"/>
      <c r="B40" s="1856" t="s">
        <v>4281</v>
      </c>
      <c r="F40" s="1872">
        <f>'Part I-Project Information'!F16</f>
        <v>0</v>
      </c>
      <c r="G40" s="1872"/>
      <c r="H40" s="1872"/>
      <c r="I40" s="1872"/>
      <c r="J40" s="1856" t="s">
        <v>4119</v>
      </c>
      <c r="L40" s="1863">
        <f>'Part I-Project Information'!L16</f>
        <v>0</v>
      </c>
      <c r="M40" s="1863"/>
      <c r="N40" s="1856" t="s">
        <v>4118</v>
      </c>
      <c r="P40" s="1873">
        <f>'Part I-Project Information'!P16</f>
        <v>0</v>
      </c>
      <c r="Z40" s="1857">
        <v>16</v>
      </c>
    </row>
    <row r="41" spans="1:26" s="1856" customFormat="1" ht="12.75" customHeight="1">
      <c r="A41" s="1857"/>
      <c r="B41" s="1856" t="s">
        <v>3401</v>
      </c>
      <c r="F41" s="1871">
        <f>'Part I-Project Information'!F17</f>
        <v>0</v>
      </c>
      <c r="G41" s="1856" t="s">
        <v>4076</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3826</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3436</v>
      </c>
      <c r="F45" s="1863" t="str">
        <f>'Part I-Project Information'!F21</f>
        <v>Bennett &amp; Company, LLC</v>
      </c>
      <c r="G45" s="1863"/>
      <c r="H45" s="1863"/>
      <c r="I45" s="1856" t="s">
        <v>1716</v>
      </c>
      <c r="J45" s="1863" t="str">
        <f>'Part I-Project Information'!J21</f>
        <v>Fred Bennett</v>
      </c>
      <c r="K45" s="1863"/>
      <c r="L45" s="1863"/>
      <c r="M45" s="1858" t="s">
        <v>1890</v>
      </c>
      <c r="N45" s="1863" t="str">
        <f>'Part I-Project Information'!N21</f>
        <v>Managing Partner</v>
      </c>
      <c r="O45" s="1863"/>
      <c r="P45" s="1863"/>
      <c r="Z45" s="1857">
        <v>21</v>
      </c>
    </row>
    <row r="46" spans="1:26" s="1856" customFormat="1" ht="13.35" customHeight="1">
      <c r="B46" s="1858" t="s">
        <v>1891</v>
      </c>
      <c r="F46" s="1863" t="str">
        <f>'Part I-Project Information'!F22</f>
        <v>730 N. Dean Road, Suite 100</v>
      </c>
      <c r="G46" s="1863"/>
      <c r="H46" s="1863"/>
      <c r="I46" s="1863"/>
      <c r="J46" s="1863"/>
      <c r="K46" s="1863"/>
      <c r="L46" s="1863"/>
      <c r="M46" s="1875" t="s">
        <v>3435</v>
      </c>
      <c r="N46" s="1875"/>
      <c r="O46" s="1875"/>
      <c r="P46" s="1875"/>
      <c r="Z46" s="1857">
        <v>22</v>
      </c>
    </row>
    <row r="47" spans="1:26" s="1856" customFormat="1" ht="13.35" customHeight="1">
      <c r="B47" s="1858" t="s">
        <v>588</v>
      </c>
      <c r="F47" s="1863" t="str">
        <f>'Part I-Project Information'!F23</f>
        <v>Auburn</v>
      </c>
      <c r="G47" s="1863"/>
      <c r="H47" s="1863"/>
      <c r="I47" s="1858" t="s">
        <v>1717</v>
      </c>
      <c r="J47" s="1876" t="str">
        <f>'Part I-Project Information'!J23</f>
        <v>AL</v>
      </c>
      <c r="M47" s="1875"/>
      <c r="N47" s="1875"/>
      <c r="O47" s="1875"/>
      <c r="P47" s="1875"/>
      <c r="Z47" s="1857">
        <v>23</v>
      </c>
    </row>
    <row r="48" spans="1:26" s="1856" customFormat="1" ht="13.35" customHeight="1">
      <c r="B48" s="1858" t="s">
        <v>2128</v>
      </c>
      <c r="F48" s="1877">
        <f>'Part I-Project Information'!F24</f>
        <v>368304303</v>
      </c>
      <c r="G48" s="1877"/>
      <c r="H48" s="1877"/>
      <c r="I48" s="1858" t="s">
        <v>1643</v>
      </c>
      <c r="J48" s="1878">
        <f>'Part I-Project Information'!J24</f>
        <v>3343210529</v>
      </c>
      <c r="K48" s="1878"/>
      <c r="L48" s="1857" t="s">
        <v>1642</v>
      </c>
      <c r="M48" s="1879">
        <f>'Part I-Project Information'!M24</f>
        <v>0</v>
      </c>
      <c r="N48" s="1858" t="s">
        <v>1644</v>
      </c>
      <c r="O48" s="1878">
        <f>'Part I-Project Information'!O24</f>
        <v>3343210529</v>
      </c>
      <c r="P48" s="1878"/>
      <c r="Z48" s="1857">
        <v>24</v>
      </c>
    </row>
    <row r="49" spans="1:26" s="1856" customFormat="1" ht="13.35" customHeight="1">
      <c r="B49" s="1858" t="s">
        <v>1894</v>
      </c>
      <c r="F49" s="1863" t="str">
        <f>'Part I-Project Information'!F25</f>
        <v>fred@thebennettgrp.net</v>
      </c>
      <c r="G49" s="1863"/>
      <c r="H49" s="1863"/>
      <c r="I49" s="1863"/>
      <c r="J49" s="1863"/>
      <c r="K49" s="1863"/>
      <c r="N49" s="1858" t="s">
        <v>1889</v>
      </c>
      <c r="O49" s="1878">
        <f>'Part I-Project Information'!O25</f>
        <v>3344440967</v>
      </c>
      <c r="P49" s="1878"/>
      <c r="Z49" s="1857">
        <v>25</v>
      </c>
    </row>
    <row r="50" spans="1:26" s="1856" customFormat="1" ht="13.5" customHeight="1">
      <c r="A50" s="1857"/>
      <c r="B50" s="1856" t="s">
        <v>3825</v>
      </c>
      <c r="C50" s="1865"/>
      <c r="H50" s="1857"/>
      <c r="J50" s="1865"/>
      <c r="P50" s="1880"/>
      <c r="Z50" s="1857">
        <v>26</v>
      </c>
    </row>
    <row r="51" spans="1:26" s="1856" customFormat="1" ht="13.35" customHeight="1">
      <c r="B51" s="1856" t="s">
        <v>3436</v>
      </c>
      <c r="F51" s="1863">
        <f>'Part I-Project Information'!F27</f>
        <v>0</v>
      </c>
      <c r="G51" s="1863"/>
      <c r="H51" s="1863"/>
      <c r="I51" s="1856" t="s">
        <v>1716</v>
      </c>
      <c r="J51" s="1863">
        <f>'Part I-Project Information'!J27</f>
        <v>0</v>
      </c>
      <c r="K51" s="1863"/>
      <c r="L51" s="1863"/>
      <c r="M51" s="1858" t="s">
        <v>1890</v>
      </c>
      <c r="N51" s="1863">
        <f>'Part I-Project Information'!N27</f>
        <v>0</v>
      </c>
      <c r="O51" s="1863"/>
      <c r="P51" s="1863"/>
      <c r="Z51" s="1857">
        <v>27</v>
      </c>
    </row>
    <row r="52" spans="1:26" s="1856" customFormat="1" ht="13.35" customHeight="1">
      <c r="B52" s="1858" t="s">
        <v>1891</v>
      </c>
      <c r="F52" s="1863">
        <f>'Part I-Project Information'!F28</f>
        <v>0</v>
      </c>
      <c r="G52" s="1863"/>
      <c r="H52" s="1863"/>
      <c r="I52" s="1863"/>
      <c r="J52" s="1863"/>
      <c r="K52" s="1863"/>
      <c r="L52" s="1863"/>
      <c r="M52" s="1875" t="s">
        <v>3435</v>
      </c>
      <c r="N52" s="1875"/>
      <c r="O52" s="1875"/>
      <c r="P52" s="1875"/>
      <c r="Z52" s="1868">
        <v>28</v>
      </c>
    </row>
    <row r="53" spans="1:26" s="1856" customFormat="1" ht="13.35" customHeight="1">
      <c r="B53" s="1858" t="s">
        <v>588</v>
      </c>
      <c r="F53" s="1863">
        <f>'Part I-Project Information'!F29</f>
        <v>0</v>
      </c>
      <c r="G53" s="1863"/>
      <c r="H53" s="1863"/>
      <c r="I53" s="1858" t="s">
        <v>1717</v>
      </c>
      <c r="J53" s="1876">
        <f>'Part I-Project Information'!J29</f>
        <v>0</v>
      </c>
      <c r="M53" s="1875"/>
      <c r="N53" s="1875"/>
      <c r="O53" s="1875"/>
      <c r="P53" s="1875"/>
      <c r="Z53" s="1868">
        <v>29</v>
      </c>
    </row>
    <row r="54" spans="1:26" s="1856" customFormat="1" ht="13.35" customHeight="1">
      <c r="B54" s="1858" t="s">
        <v>2128</v>
      </c>
      <c r="F54" s="1877">
        <f>'Part I-Project Information'!F30</f>
        <v>0</v>
      </c>
      <c r="G54" s="1877"/>
      <c r="H54" s="1877"/>
      <c r="I54" s="1858" t="s">
        <v>1643</v>
      </c>
      <c r="J54" s="1878">
        <f>'Part I-Project Information'!J30</f>
        <v>0</v>
      </c>
      <c r="K54" s="1878"/>
      <c r="L54" s="1857" t="s">
        <v>1642</v>
      </c>
      <c r="M54" s="1879">
        <f>'Part I-Project Information'!M30</f>
        <v>0</v>
      </c>
      <c r="N54" s="1858" t="s">
        <v>1644</v>
      </c>
      <c r="O54" s="1878">
        <f>'Part I-Project Information'!O30</f>
        <v>0</v>
      </c>
      <c r="P54" s="1878"/>
      <c r="Z54" s="1857">
        <v>30</v>
      </c>
    </row>
    <row r="55" spans="1:26" s="1856" customFormat="1" ht="13.35" customHeight="1">
      <c r="B55" s="1858" t="s">
        <v>1894</v>
      </c>
      <c r="F55" s="1863">
        <f>'Part I-Project Information'!F31</f>
        <v>0</v>
      </c>
      <c r="G55" s="1863"/>
      <c r="H55" s="1863"/>
      <c r="I55" s="1863"/>
      <c r="J55" s="1863"/>
      <c r="K55" s="1863"/>
      <c r="N55" s="1858" t="s">
        <v>1889</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Dunbar Court</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New Dunbar Road</v>
      </c>
      <c r="G60" s="1872"/>
      <c r="H60" s="1872"/>
      <c r="I60" s="1872"/>
      <c r="J60" s="1872"/>
      <c r="K60" s="1872"/>
      <c r="L60" s="1856" t="s">
        <v>3321</v>
      </c>
      <c r="O60" s="1863" t="str">
        <f>'Part I-Project Information'!O36</f>
        <v>NA</v>
      </c>
      <c r="P60" s="1863"/>
      <c r="Z60" s="1857">
        <v>36</v>
      </c>
    </row>
    <row r="61" spans="1:26" s="1856" customFormat="1" ht="13.35" customHeight="1">
      <c r="A61" s="1860"/>
      <c r="B61" s="1856" t="s">
        <v>7000</v>
      </c>
      <c r="D61" s="1860"/>
      <c r="F61" s="1872" t="str">
        <f>'Part I-Project Information'!F37</f>
        <v>202 New Dunbar Road</v>
      </c>
      <c r="G61" s="1872"/>
      <c r="H61" s="1872"/>
      <c r="I61" s="1872"/>
      <c r="J61" s="1872"/>
      <c r="K61" s="1872"/>
      <c r="L61" s="1858" t="s">
        <v>1958</v>
      </c>
      <c r="N61" s="1879" t="str">
        <f>'Part I-Project Information'!N37</f>
        <v>No</v>
      </c>
      <c r="O61" s="1857" t="s">
        <v>3320</v>
      </c>
      <c r="P61" s="1879">
        <f>'Part I-Project Information'!P37</f>
        <v>0</v>
      </c>
      <c r="Z61" s="1857">
        <v>37</v>
      </c>
    </row>
    <row r="62" spans="1:26" s="1856" customFormat="1" ht="13.35" customHeight="1">
      <c r="A62" s="1860"/>
      <c r="B62" s="1856" t="s">
        <v>3362</v>
      </c>
      <c r="D62" s="1860"/>
      <c r="F62" s="1856" t="s">
        <v>3347</v>
      </c>
      <c r="G62" s="1881">
        <f>'Part I-Project Information'!G38</f>
        <v>32.651513999999999</v>
      </c>
      <c r="H62" s="1881"/>
      <c r="I62" s="1857" t="s">
        <v>3348</v>
      </c>
      <c r="J62" s="1881">
        <f>'Part I-Project Information'!J38</f>
        <v>-83.749906999999993</v>
      </c>
      <c r="K62" s="1881"/>
      <c r="L62" s="1858" t="s">
        <v>2180</v>
      </c>
      <c r="O62" s="1882">
        <f>'Part I-Project Information'!O38</f>
        <v>10.106</v>
      </c>
      <c r="P62" s="1882"/>
      <c r="Z62" s="1868">
        <v>38</v>
      </c>
    </row>
    <row r="63" spans="1:26" s="1856" customFormat="1" ht="13.35" customHeight="1">
      <c r="A63" s="1857"/>
      <c r="B63" s="1856" t="s">
        <v>588</v>
      </c>
      <c r="F63" s="1863" t="str">
        <f>'Part I-Project Information'!F39</f>
        <v>Byron</v>
      </c>
      <c r="G63" s="1863"/>
      <c r="H63" s="1863"/>
      <c r="I63" s="1883" t="s">
        <v>7063</v>
      </c>
      <c r="J63" s="1877">
        <f>'Part I-Project Information'!J39</f>
        <v>310086337</v>
      </c>
      <c r="K63" s="1877"/>
      <c r="L63" s="1856" t="str">
        <f>IF(AND(NOT(F59=""),NOT(F63="Select from list"),J63=""),"Enter Zip!","")</f>
        <v/>
      </c>
      <c r="M63" s="1884" t="s">
        <v>2693</v>
      </c>
      <c r="O63" s="1885" t="str">
        <f>'Part I-Project Information'!O39</f>
        <v>13225040102</v>
      </c>
      <c r="P63" s="1886"/>
      <c r="Z63" s="1857">
        <v>39</v>
      </c>
    </row>
    <row r="64" spans="1:26" s="1856" customFormat="1" ht="13.35" customHeight="1">
      <c r="A64" s="1857"/>
      <c r="B64" s="1856" t="s">
        <v>4098</v>
      </c>
      <c r="F64" s="1863" t="str">
        <f>'Part I-Project Information'!F40</f>
        <v>City Limits</v>
      </c>
      <c r="G64" s="1863"/>
      <c r="H64" s="1863"/>
      <c r="I64" s="1887" t="s">
        <v>589</v>
      </c>
      <c r="J64" s="1872" t="str">
        <f>'Part I-Project Information'!J40</f>
        <v>Peach</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Yes</v>
      </c>
      <c r="I65" s="1857"/>
      <c r="J65" s="1857" t="s">
        <v>2610</v>
      </c>
      <c r="K65" s="1857" t="str">
        <f>'Part I-Project Information'!K41</f>
        <v>Rural</v>
      </c>
      <c r="M65" s="1858" t="s">
        <v>2487</v>
      </c>
      <c r="N65" s="1857" t="str">
        <f>'Part I-Project Information'!N41</f>
        <v>MSA</v>
      </c>
      <c r="O65" s="1863" t="str">
        <f>'Part I-Project Information'!O41</f>
        <v>Peach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7064</v>
      </c>
      <c r="F67" s="1865" t="s">
        <v>2592</v>
      </c>
      <c r="G67" s="1865"/>
      <c r="H67" s="1856" t="s">
        <v>706</v>
      </c>
      <c r="J67" s="1856" t="s">
        <v>707</v>
      </c>
      <c r="L67" s="1890" t="s">
        <v>7065</v>
      </c>
      <c r="Z67" s="1857">
        <v>43</v>
      </c>
    </row>
    <row r="68" spans="1:26" s="1856" customFormat="1" ht="13.35" customHeight="1">
      <c r="A68" s="1857"/>
      <c r="B68" s="1856" t="s">
        <v>7001</v>
      </c>
      <c r="F68" s="1891">
        <f>'Part I-Project Information'!F44</f>
        <v>2</v>
      </c>
      <c r="G68" s="1891"/>
      <c r="H68" s="1891">
        <f>'Part I-Project Information'!H44</f>
        <v>18</v>
      </c>
      <c r="I68" s="1891"/>
      <c r="J68" s="1891">
        <f>'Part I-Project Information'!J44</f>
        <v>140</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Byron</v>
      </c>
      <c r="G71" s="1894"/>
      <c r="H71" s="1894"/>
      <c r="I71" s="1894"/>
      <c r="J71" s="1894"/>
      <c r="K71" s="1894"/>
      <c r="L71" s="1895" t="s">
        <v>2553</v>
      </c>
      <c r="M71" s="1863" t="str">
        <f>'Part I-Project Information'!M47</f>
        <v>www.byronga.com</v>
      </c>
      <c r="N71" s="1863"/>
      <c r="O71" s="1863"/>
      <c r="P71" s="1863"/>
      <c r="Z71" s="1868">
        <v>47</v>
      </c>
    </row>
    <row r="72" spans="1:26" s="1856" customFormat="1" ht="13.35" customHeight="1">
      <c r="A72" s="1857"/>
      <c r="B72" s="1856" t="s">
        <v>608</v>
      </c>
      <c r="F72" s="1894" t="str">
        <f>'Part I-Project Information'!F48</f>
        <v>Michael Chidester</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401 Main Street</v>
      </c>
      <c r="G73" s="1894"/>
      <c r="H73" s="1894"/>
      <c r="I73" s="1894"/>
      <c r="J73" s="1894"/>
      <c r="K73" s="1894"/>
      <c r="L73" s="1858" t="s">
        <v>588</v>
      </c>
      <c r="M73" s="1894" t="str">
        <f>'Part I-Project Information'!M49</f>
        <v>Byron</v>
      </c>
      <c r="N73" s="1894"/>
      <c r="O73" s="1894"/>
      <c r="P73" s="1894"/>
      <c r="Z73" s="1857">
        <v>49</v>
      </c>
    </row>
    <row r="74" spans="1:26" s="1856" customFormat="1" ht="13.35" customHeight="1">
      <c r="A74" s="1857"/>
      <c r="B74" s="1858" t="s">
        <v>2128</v>
      </c>
      <c r="F74" s="1877">
        <f>'Part I-Project Information'!F50</f>
        <v>310080000</v>
      </c>
      <c r="G74" s="1877"/>
      <c r="H74" s="1857" t="s">
        <v>1892</v>
      </c>
      <c r="I74" s="1878">
        <f>'Part I-Project Information'!I50</f>
        <v>4789563600</v>
      </c>
      <c r="J74" s="1878"/>
      <c r="K74" s="1878"/>
      <c r="L74" s="1858" t="s">
        <v>1718</v>
      </c>
      <c r="M74" s="1894" t="str">
        <f>'Part I-Project Information'!M50</f>
        <v>mlcattorney@mgacoxmail.ocm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7002</v>
      </c>
      <c r="K78" s="1864"/>
      <c r="M78" s="1892"/>
      <c r="N78" s="1892"/>
      <c r="O78" s="1892"/>
      <c r="P78" s="1892"/>
      <c r="Q78" s="1857"/>
      <c r="Z78" s="1857">
        <v>54</v>
      </c>
    </row>
    <row r="79" spans="1:26" s="1865" customFormat="1" ht="13.35" customHeight="1">
      <c r="B79" s="1857"/>
      <c r="C79" s="1856" t="s">
        <v>2192</v>
      </c>
      <c r="D79" s="1856"/>
      <c r="E79" s="1856"/>
      <c r="H79" s="1897">
        <f>'Part I-Project Information'!H55</f>
        <v>48</v>
      </c>
      <c r="K79" s="1858" t="s">
        <v>3313</v>
      </c>
      <c r="L79" s="1856"/>
      <c r="M79" s="1898" t="s">
        <v>3312</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3257</v>
      </c>
      <c r="J85" s="1860" t="s">
        <v>2021</v>
      </c>
      <c r="K85" s="1865" t="s">
        <v>2198</v>
      </c>
      <c r="P85" s="1857"/>
      <c r="Q85" s="1857"/>
      <c r="R85" s="1857"/>
      <c r="Z85" s="1857">
        <v>61</v>
      </c>
    </row>
    <row r="86" spans="1:26" s="1856" customFormat="1" ht="13.35" customHeight="1">
      <c r="A86" s="1857"/>
      <c r="B86" s="1903"/>
      <c r="C86" s="1865" t="s">
        <v>2174</v>
      </c>
      <c r="H86" s="1897">
        <f>'Part I-Project Information'!H62</f>
        <v>48</v>
      </c>
      <c r="I86" s="1904">
        <f>'Part VI-Revenues &amp; Expenses'!$P$100</f>
        <v>0</v>
      </c>
      <c r="J86" s="1857"/>
      <c r="K86" s="1865" t="s">
        <v>2600</v>
      </c>
      <c r="P86" s="1897">
        <f>'Part I-Project Information'!P62</f>
        <v>51936</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48</v>
      </c>
      <c r="J88" s="1857"/>
      <c r="K88" s="1865" t="s">
        <v>2602</v>
      </c>
      <c r="P88" s="1897">
        <f>'Part I-Project Information'!P64</f>
        <v>51936</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48</v>
      </c>
      <c r="K90" s="1865" t="s">
        <v>1369</v>
      </c>
      <c r="P90" s="1897">
        <f>'Part I-Project Information'!P66</f>
        <v>51936</v>
      </c>
      <c r="Z90" s="1868">
        <v>66</v>
      </c>
    </row>
    <row r="91" spans="1:26" s="1856" customFormat="1" ht="3" customHeight="1">
      <c r="A91" s="1857"/>
      <c r="I91" s="1857"/>
      <c r="L91" s="1857"/>
      <c r="M91" s="1857"/>
      <c r="P91" s="1880"/>
      <c r="Z91" s="1857">
        <v>67</v>
      </c>
    </row>
    <row r="92" spans="1:26" s="1856" customFormat="1" ht="11.25" customHeight="1">
      <c r="A92" s="1857"/>
      <c r="H92" s="1857" t="s">
        <v>3442</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3</v>
      </c>
      <c r="I93" s="1879">
        <f>'Part I-Project Information'!I69</f>
        <v>0</v>
      </c>
      <c r="K93" s="1865" t="s">
        <v>7066</v>
      </c>
      <c r="P93" s="1879">
        <f>'Part I-Project Information'!P69</f>
        <v>2100</v>
      </c>
      <c r="Z93" s="1857">
        <v>69</v>
      </c>
    </row>
    <row r="94" spans="1:26" s="1856" customFormat="1" ht="13.35" customHeight="1">
      <c r="A94" s="1857"/>
      <c r="B94" s="1857"/>
      <c r="D94" s="1903" t="s">
        <v>1907</v>
      </c>
      <c r="H94" s="1879">
        <f>'Part I-Project Information'!H70</f>
        <v>1</v>
      </c>
      <c r="I94" s="1879">
        <f>'Part I-Project Information'!I70</f>
        <v>0</v>
      </c>
      <c r="K94" s="1865" t="s">
        <v>241</v>
      </c>
      <c r="P94" s="1904">
        <f>+P90+P93</f>
        <v>54036</v>
      </c>
      <c r="Z94" s="1857">
        <v>70</v>
      </c>
    </row>
    <row r="95" spans="1:26" s="1856" customFormat="1" ht="13.35" customHeight="1">
      <c r="A95" s="1857"/>
      <c r="B95" s="1857"/>
      <c r="D95" s="1903" t="s">
        <v>1908</v>
      </c>
      <c r="H95" s="1904">
        <f>+H93+H94</f>
        <v>4</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96</v>
      </c>
      <c r="K97" s="1905" t="s">
        <v>6776</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7067</v>
      </c>
      <c r="D101" s="1903"/>
      <c r="E101" s="1906" t="s">
        <v>6602</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6603</v>
      </c>
      <c r="K103" s="1907" t="s">
        <v>4025</v>
      </c>
      <c r="L103" s="1908" t="s">
        <v>2698</v>
      </c>
      <c r="M103" s="1879">
        <f>'Part I-Project Information'!M79</f>
        <v>48</v>
      </c>
      <c r="N103" s="1908" t="s">
        <v>2699</v>
      </c>
      <c r="O103" s="1879">
        <f>'Part I-Project Information'!O79</f>
        <v>0</v>
      </c>
      <c r="P103" s="1858" t="s">
        <v>4024</v>
      </c>
      <c r="Z103" s="1857">
        <v>79</v>
      </c>
    </row>
    <row r="104" spans="1:26" s="1856" customFormat="1">
      <c r="A104" s="1857"/>
      <c r="B104" s="1857"/>
      <c r="D104" s="1858"/>
      <c r="E104" s="1903"/>
      <c r="J104" s="1907"/>
      <c r="K104" s="1907"/>
      <c r="L104" s="1860" t="s">
        <v>2700</v>
      </c>
      <c r="M104" s="1879">
        <f>'Part I-Project Information'!M80</f>
        <v>0</v>
      </c>
      <c r="N104" s="1860" t="s">
        <v>3432</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7068</v>
      </c>
      <c r="D106" s="1903"/>
      <c r="E106" s="1906" t="s">
        <v>6605</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4025</v>
      </c>
      <c r="L108" s="1908" t="s">
        <v>2698</v>
      </c>
      <c r="M108" s="1879">
        <f>'Part I-Project Information'!M84</f>
        <v>0</v>
      </c>
      <c r="N108" s="1908" t="s">
        <v>2699</v>
      </c>
      <c r="O108" s="1879">
        <f>'Part I-Project Information'!O84</f>
        <v>0</v>
      </c>
      <c r="P108" s="1858" t="s">
        <v>4024</v>
      </c>
      <c r="Z108" s="1868">
        <v>84</v>
      </c>
    </row>
    <row r="109" spans="1:26" s="1856" customFormat="1">
      <c r="A109" s="1857"/>
      <c r="B109" s="1857"/>
      <c r="D109" s="1858"/>
      <c r="E109" s="1903"/>
      <c r="J109" s="1907"/>
      <c r="K109" s="1907"/>
      <c r="L109" s="1860" t="s">
        <v>2700</v>
      </c>
      <c r="M109" s="1879">
        <f>'Part I-Project Information'!M85</f>
        <v>0</v>
      </c>
      <c r="N109" s="1860" t="s">
        <v>3432</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3</v>
      </c>
      <c r="K111" s="1856" t="s">
        <v>495</v>
      </c>
      <c r="N111" s="1909">
        <f>'Part I-Project Information'!N87</f>
        <v>6.25E-2</v>
      </c>
      <c r="O111" s="1860" t="s">
        <v>3330</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1</v>
      </c>
      <c r="K114" s="1856" t="s">
        <v>495</v>
      </c>
      <c r="N114" s="1909">
        <f>'Part I-Project Information'!N90</f>
        <v>2.0833333333333332E-2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3991</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4097</v>
      </c>
      <c r="L119" s="1857"/>
      <c r="M119" s="1857"/>
      <c r="Z119" s="1857">
        <v>95</v>
      </c>
    </row>
    <row r="120" spans="1:26" s="1856" customFormat="1" ht="13.35" customHeight="1">
      <c r="B120" s="1857" t="s">
        <v>1895</v>
      </c>
      <c r="C120" s="1856" t="s">
        <v>1473</v>
      </c>
      <c r="K120" s="1858" t="s">
        <v>4012</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3931</v>
      </c>
      <c r="P124" s="1879" t="str">
        <f>'Part I-Project Information'!P100</f>
        <v>No</v>
      </c>
      <c r="Z124" s="1857">
        <v>100</v>
      </c>
    </row>
    <row r="125" spans="1:26" s="1856" customFormat="1" ht="13.35" customHeight="1">
      <c r="A125" s="1865"/>
      <c r="B125" s="1857"/>
      <c r="F125" s="1903" t="s">
        <v>3447</v>
      </c>
      <c r="H125" s="1879" t="str">
        <f>'Part I-Project Information'!H101</f>
        <v>No</v>
      </c>
      <c r="K125" s="1858" t="s">
        <v>6315</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6314</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900000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Fred Bennett</v>
      </c>
      <c r="D149" s="1869"/>
      <c r="E149" s="1869"/>
      <c r="F149" s="1869" t="str">
        <f>'Part I-Project Information'!F125</f>
        <v>Dunbar Court</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f>'Part I-Project Information'!C126</f>
        <v>2</v>
      </c>
      <c r="D150" s="1869"/>
      <c r="E150" s="1869"/>
      <c r="F150" s="1869">
        <f>'Part I-Project Information'!F126</f>
        <v>0</v>
      </c>
      <c r="G150" s="1869"/>
      <c r="H150" s="1869"/>
      <c r="I150" s="1916">
        <f>'Part I-Project Information'!I126</f>
        <v>0</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7003</v>
      </c>
      <c r="I166" s="1879" t="str">
        <f>'Part I-Project Information'!I142</f>
        <v>No</v>
      </c>
      <c r="K166" s="1856" t="s">
        <v>6480</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6838</v>
      </c>
      <c r="I168" s="1879" t="str">
        <f>'Part I-Project Information'!I144</f>
        <v>No</v>
      </c>
      <c r="K168" s="1856" t="s">
        <v>6481</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6483</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6484</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6397</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6839</v>
      </c>
      <c r="I175" s="1879" t="str">
        <f>'Part I-Project Information'!I151</f>
        <v>No</v>
      </c>
      <c r="K175" s="1856" t="s">
        <v>6481</v>
      </c>
      <c r="M175" s="1857"/>
      <c r="O175" s="1913">
        <f>'Part I-Project Information'!O151</f>
        <v>0</v>
      </c>
      <c r="P175" s="1913"/>
      <c r="Z175" s="1857">
        <v>151</v>
      </c>
    </row>
    <row r="176" spans="1:26" s="1856" customFormat="1" ht="12" customHeight="1">
      <c r="A176" s="1857"/>
      <c r="B176" s="1857"/>
      <c r="C176" s="1903" t="s">
        <v>6398</v>
      </c>
      <c r="D176" s="1903"/>
      <c r="E176" s="1903"/>
      <c r="F176" s="1857"/>
      <c r="I176" s="1917">
        <f>'Part I-Project Information'!I152</f>
        <v>0</v>
      </c>
      <c r="K176" s="1856" t="s">
        <v>6483</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6484</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6397</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7069</v>
      </c>
      <c r="F182" s="1865"/>
      <c r="G182" s="1865"/>
      <c r="I182" s="1918" t="str">
        <f>'Part I-Project Information'!I158</f>
        <v>No</v>
      </c>
      <c r="K182" s="1865" t="s">
        <v>4088</v>
      </c>
      <c r="L182" s="1865"/>
      <c r="M182" s="1865"/>
      <c r="O182" s="1918" t="str">
        <f>'Part I-Project Information'!O158</f>
        <v>No</v>
      </c>
      <c r="P182" s="1880"/>
      <c r="Z182" s="1857">
        <v>158</v>
      </c>
    </row>
    <row r="183" spans="1:26" s="1856" customFormat="1" ht="12" customHeight="1">
      <c r="A183" s="1857"/>
      <c r="C183" s="1903"/>
      <c r="D183" s="1903"/>
      <c r="E183" s="1865" t="s">
        <v>7070</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4085</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6840</v>
      </c>
      <c r="D191" s="1907"/>
      <c r="E191" s="1907"/>
      <c r="F191" s="1907"/>
      <c r="I191" s="1856" t="s">
        <v>3964</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3963</v>
      </c>
      <c r="K192" s="1907"/>
      <c r="L192" s="1907"/>
      <c r="N192" s="1920">
        <f>'Part I-Project Information'!N168</f>
        <v>0</v>
      </c>
      <c r="P192" s="1921">
        <f>'Part I-Project Information'!P168</f>
        <v>0</v>
      </c>
      <c r="Z192" s="1868">
        <v>168</v>
      </c>
    </row>
    <row r="193" spans="1:26" s="1856" customFormat="1" ht="12" customHeight="1">
      <c r="A193" s="1857"/>
      <c r="B193" s="1857"/>
      <c r="C193" s="1865" t="s">
        <v>6304</v>
      </c>
      <c r="D193" s="1883"/>
      <c r="E193" s="1883"/>
      <c r="F193" s="1857"/>
      <c r="G193" s="1857"/>
      <c r="H193" s="1857"/>
      <c r="I193" s="1918">
        <f>'Part I-Project Information'!I169</f>
        <v>0</v>
      </c>
      <c r="J193" s="1858" t="s">
        <v>6305</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3929</v>
      </c>
      <c r="N195" s="1878">
        <f>'Part I-Project Information'!N171</f>
        <v>0</v>
      </c>
      <c r="O195" s="1878"/>
      <c r="P195" s="1878"/>
      <c r="Z195" s="1857">
        <v>171</v>
      </c>
    </row>
    <row r="196" spans="1:26" s="1856" customFormat="1" ht="12.6" customHeight="1">
      <c r="A196" s="1857"/>
      <c r="B196" s="1857"/>
      <c r="C196" s="1858" t="s">
        <v>3930</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3965</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6523</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f>'Part I-Project Information'!L180</f>
        <v>0</v>
      </c>
      <c r="M204" s="1856" t="s">
        <v>2222</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6799</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6488</v>
      </c>
      <c r="E209" s="1865"/>
      <c r="F209" s="1925"/>
      <c r="G209" s="1925"/>
      <c r="H209" s="1925"/>
      <c r="I209" s="1926"/>
      <c r="J209" s="1926"/>
      <c r="K209" s="1926"/>
      <c r="L209" s="1918" t="str">
        <f>'Part I-Project Information'!L185</f>
        <v>No</v>
      </c>
      <c r="M209" s="1874" t="s">
        <v>6489</v>
      </c>
      <c r="N209" s="1925"/>
      <c r="O209" s="1928">
        <f>'Part I-Project Information'!O185</f>
        <v>0</v>
      </c>
      <c r="P209" s="1928"/>
      <c r="Z209" s="1857">
        <v>185</v>
      </c>
    </row>
    <row r="210" spans="1:26" ht="12" customHeight="1">
      <c r="B210" s="1865"/>
      <c r="C210" s="1927" t="s">
        <v>1898</v>
      </c>
      <c r="D210" s="1874" t="s">
        <v>6617</v>
      </c>
      <c r="E210" s="1865"/>
      <c r="F210" s="1925"/>
      <c r="G210" s="1925"/>
      <c r="H210" s="1925"/>
      <c r="I210" s="1926"/>
      <c r="J210" s="1926"/>
      <c r="K210" s="1926"/>
      <c r="L210" s="1918" t="str">
        <f>'Part I-Project Information'!L186</f>
        <v>No</v>
      </c>
      <c r="M210" s="1874" t="s">
        <v>6489</v>
      </c>
      <c r="N210" s="1925"/>
      <c r="O210" s="1928">
        <f>'Part I-Project Information'!O186</f>
        <v>0</v>
      </c>
      <c r="P210" s="1928"/>
      <c r="Z210" s="1857">
        <v>186</v>
      </c>
    </row>
    <row r="211" spans="1:26" ht="12" customHeight="1">
      <c r="B211" s="1865"/>
      <c r="C211" s="1927" t="s">
        <v>2416</v>
      </c>
      <c r="D211" s="1874" t="s">
        <v>6490</v>
      </c>
      <c r="E211" s="1865"/>
      <c r="F211" s="1925"/>
      <c r="G211" s="1925"/>
      <c r="H211" s="1925"/>
      <c r="I211" s="1926"/>
      <c r="J211" s="1926"/>
      <c r="K211" s="1926"/>
      <c r="L211" s="1918" t="str">
        <f>'Part I-Project Information'!L187</f>
        <v>No</v>
      </c>
      <c r="M211" s="1874" t="s">
        <v>6489</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6802</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6790</v>
      </c>
      <c r="D215" s="1936"/>
      <c r="E215" s="1936"/>
      <c r="F215" s="1936"/>
      <c r="G215" s="1865"/>
      <c r="H215" s="1874" t="s">
        <v>6804</v>
      </c>
      <c r="I215" s="1874"/>
      <c r="J215" s="1874" t="s">
        <v>6789</v>
      </c>
      <c r="K215" s="1874"/>
      <c r="L215" s="1874" t="s">
        <v>6788</v>
      </c>
      <c r="M215" s="1874"/>
      <c r="N215" s="1874"/>
      <c r="O215" s="1874"/>
      <c r="P215" s="1874"/>
      <c r="Z215" s="1857">
        <v>191</v>
      </c>
    </row>
    <row r="216" spans="1:26">
      <c r="A216" s="1934"/>
      <c r="B216" s="1937"/>
      <c r="C216" s="1936" t="s">
        <v>6800</v>
      </c>
      <c r="D216" s="1936"/>
      <c r="E216" s="1936"/>
      <c r="F216" s="1938" t="s">
        <v>6782</v>
      </c>
      <c r="G216" s="1938" t="s">
        <v>6783</v>
      </c>
      <c r="H216" s="1939" t="str">
        <f>'Part I-Project Information'!H192</f>
        <v/>
      </c>
      <c r="I216" s="1940" t="s">
        <v>6784</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6785</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6786</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6491</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6787</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6803</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6545</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4127</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6400</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45139</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XIII Section B. Extended Affordability Commitment: Owner is willing to forgo the Qualified Contract "cancelation option" after the close of the compliance period.</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2021-014 Dunbar Court, ,  County</v>
      </c>
      <c r="Z247" s="1857">
        <v>2</v>
      </c>
    </row>
    <row r="248" spans="1:26" s="1865" customFormat="1" ht="12" customHeight="1">
      <c r="A248" s="1858" t="s">
        <v>3812</v>
      </c>
      <c r="Z248" s="1857">
        <v>3</v>
      </c>
    </row>
    <row r="249" spans="1:26" s="1856" customFormat="1" ht="13.35" customHeight="1">
      <c r="A249" s="1856" t="s">
        <v>586</v>
      </c>
      <c r="B249" s="1858" t="s">
        <v>1772</v>
      </c>
      <c r="C249" s="1858"/>
      <c r="E249" s="1858"/>
      <c r="F249" s="1858"/>
      <c r="G249" s="1858"/>
      <c r="H249" s="1859" t="s">
        <v>3614</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Dunbar Court, LP</v>
      </c>
      <c r="I251" s="1914"/>
      <c r="J251" s="1914"/>
      <c r="K251" s="1914"/>
      <c r="L251" s="1914"/>
      <c r="M251" s="1914"/>
      <c r="N251" s="1914"/>
      <c r="O251" s="1888" t="s">
        <v>1899</v>
      </c>
      <c r="P251" s="1888"/>
      <c r="Q251" s="1863" t="str">
        <f>'Part II-Development Team'!Q6</f>
        <v>Fred Bennett</v>
      </c>
      <c r="R251" s="1914"/>
      <c r="S251" s="1914"/>
      <c r="Z251" s="1857">
        <v>6</v>
      </c>
    </row>
    <row r="252" spans="1:26" s="1856" customFormat="1" ht="11.25" customHeight="1">
      <c r="D252" s="1887"/>
      <c r="E252" s="1858" t="s">
        <v>982</v>
      </c>
      <c r="F252" s="1860"/>
      <c r="H252" s="1863" t="str">
        <f>'Part II-Development Team'!H7</f>
        <v>730 N. Dean Road, Suite 100</v>
      </c>
      <c r="I252" s="1914"/>
      <c r="J252" s="1914"/>
      <c r="K252" s="1914"/>
      <c r="L252" s="1914"/>
      <c r="M252" s="1914"/>
      <c r="N252" s="1914"/>
      <c r="O252" s="1888" t="s">
        <v>1668</v>
      </c>
      <c r="P252" s="1863"/>
      <c r="Q252" s="1863" t="str">
        <f>'Part II-Development Team'!Q7</f>
        <v>Managing Partner</v>
      </c>
      <c r="R252" s="1914"/>
      <c r="S252" s="1914"/>
      <c r="Z252" s="1857">
        <v>7</v>
      </c>
    </row>
    <row r="253" spans="1:26" s="1856" customFormat="1" ht="11.25" customHeight="1">
      <c r="D253" s="1887"/>
      <c r="E253" s="1858" t="s">
        <v>588</v>
      </c>
      <c r="H253" s="1863" t="str">
        <f>'Part II-Development Team'!H8</f>
        <v>Auburn</v>
      </c>
      <c r="I253" s="1914"/>
      <c r="J253" s="1914"/>
      <c r="K253" s="1879" t="s">
        <v>732</v>
      </c>
      <c r="L253" s="1863" t="str">
        <f>'Part II-Development Team'!L8</f>
        <v>TBD</v>
      </c>
      <c r="M253" s="1914"/>
      <c r="N253" s="1914"/>
      <c r="O253" s="1888" t="s">
        <v>1644</v>
      </c>
      <c r="P253" s="1863"/>
      <c r="Q253" s="1878">
        <f>'Part II-Development Team'!Q8</f>
        <v>3343210529</v>
      </c>
      <c r="R253" s="1878"/>
      <c r="S253" s="1878"/>
      <c r="Z253" s="1857">
        <v>8</v>
      </c>
    </row>
    <row r="254" spans="1:26" s="1856" customFormat="1" ht="11.25" customHeight="1">
      <c r="D254" s="1887"/>
      <c r="E254" s="1858" t="s">
        <v>1717</v>
      </c>
      <c r="H254" s="1888" t="str">
        <f>'Part II-Development Team'!H9</f>
        <v>AL</v>
      </c>
      <c r="I254" s="1879" t="s">
        <v>2128</v>
      </c>
      <c r="J254" s="1877">
        <f>'Part II-Development Team'!J9</f>
        <v>368304303</v>
      </c>
      <c r="K254" s="1914"/>
      <c r="L254" s="1863" t="s">
        <v>3323</v>
      </c>
      <c r="M254" s="1863" t="str">
        <f>'Part II-Development Team'!M9</f>
        <v>For Profit</v>
      </c>
      <c r="N254" s="1863"/>
      <c r="O254" s="1888" t="s">
        <v>1889</v>
      </c>
      <c r="P254" s="1863"/>
      <c r="Q254" s="1878">
        <f>'Part II-Development Team'!Q9</f>
        <v>3344440967</v>
      </c>
      <c r="R254" s="1878"/>
      <c r="S254" s="1878"/>
      <c r="Z254" s="1857">
        <v>9</v>
      </c>
    </row>
    <row r="255" spans="1:26" s="1856" customFormat="1" ht="11.25" customHeight="1">
      <c r="D255" s="1887"/>
      <c r="E255" s="1858" t="s">
        <v>3615</v>
      </c>
      <c r="H255" s="1878">
        <f>'Part II-Development Team'!H10</f>
        <v>3343210529</v>
      </c>
      <c r="I255" s="1878"/>
      <c r="J255" s="1918">
        <f>'Part II-Development Team'!J10</f>
        <v>0</v>
      </c>
      <c r="K255" s="1879" t="s">
        <v>1894</v>
      </c>
      <c r="L255" s="1872" t="str">
        <f>'Part II-Development Team'!L10</f>
        <v>fred@thebennettgrp.net</v>
      </c>
      <c r="M255" s="1872"/>
      <c r="N255" s="1872"/>
      <c r="O255" s="1872"/>
      <c r="P255" s="1872"/>
      <c r="Q255" s="1872"/>
      <c r="R255" s="1872"/>
      <c r="S255" s="1872"/>
      <c r="Z255" s="1868">
        <v>10</v>
      </c>
    </row>
    <row r="256" spans="1:26" s="1856" customFormat="1" ht="11.25" customHeight="1">
      <c r="D256" s="1887"/>
      <c r="E256" s="1859" t="s">
        <v>3614</v>
      </c>
      <c r="H256" s="1958"/>
      <c r="I256" s="1863"/>
      <c r="J256" s="1863"/>
      <c r="K256" s="1869"/>
      <c r="L256" s="1863"/>
      <c r="M256" s="1863"/>
      <c r="N256" s="1863" t="s">
        <v>6841</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Dunbar Court GP, Inc.</v>
      </c>
      <c r="I260" s="1914"/>
      <c r="J260" s="1914"/>
      <c r="K260" s="1914"/>
      <c r="L260" s="1914"/>
      <c r="M260" s="1914"/>
      <c r="N260" s="1914"/>
      <c r="O260" s="1888" t="s">
        <v>1899</v>
      </c>
      <c r="P260" s="1888"/>
      <c r="Q260" s="1863" t="str">
        <f>'Part II-Development Team'!Q15</f>
        <v>Fred Bennett</v>
      </c>
      <c r="R260" s="1914"/>
      <c r="S260" s="1914"/>
      <c r="Z260" s="1857">
        <v>15</v>
      </c>
    </row>
    <row r="261" spans="2:26" s="1856" customFormat="1" ht="11.25" customHeight="1">
      <c r="D261" s="1887"/>
      <c r="E261" s="1858" t="s">
        <v>982</v>
      </c>
      <c r="F261" s="1860"/>
      <c r="H261" s="1863" t="str">
        <f>'Part II-Development Team'!H16</f>
        <v>730 N. Dean Road, Suite 100</v>
      </c>
      <c r="I261" s="1914"/>
      <c r="J261" s="1914"/>
      <c r="K261" s="1914"/>
      <c r="L261" s="1914"/>
      <c r="M261" s="1914"/>
      <c r="N261" s="1914"/>
      <c r="O261" s="1888" t="s">
        <v>1668</v>
      </c>
      <c r="P261" s="1863"/>
      <c r="Q261" s="1863" t="str">
        <f>'Part II-Development Team'!Q16</f>
        <v>Managing Partner</v>
      </c>
      <c r="R261" s="1914"/>
      <c r="S261" s="1914"/>
      <c r="Z261" s="1857">
        <v>16</v>
      </c>
    </row>
    <row r="262" spans="2:26" s="1856" customFormat="1" ht="11.25" customHeight="1">
      <c r="D262" s="1887"/>
      <c r="E262" s="1858" t="s">
        <v>588</v>
      </c>
      <c r="H262" s="1863" t="str">
        <f>'Part II-Development Team'!H17</f>
        <v>Auburn</v>
      </c>
      <c r="I262" s="1914"/>
      <c r="J262" s="1914"/>
      <c r="K262" s="1879" t="s">
        <v>2553</v>
      </c>
      <c r="L262" s="1863" t="str">
        <f>'Part II-Development Team'!L17</f>
        <v>www.thebennettgrp.net</v>
      </c>
      <c r="M262" s="1914"/>
      <c r="N262" s="1914"/>
      <c r="O262" s="1888" t="s">
        <v>1644</v>
      </c>
      <c r="P262" s="1863"/>
      <c r="Q262" s="1878">
        <f>'Part II-Development Team'!Q17</f>
        <v>3343210529</v>
      </c>
      <c r="R262" s="1878"/>
      <c r="S262" s="1878"/>
      <c r="Z262" s="1857">
        <v>17</v>
      </c>
    </row>
    <row r="263" spans="2:26" s="1856" customFormat="1" ht="11.25" customHeight="1">
      <c r="E263" s="1858" t="s">
        <v>1717</v>
      </c>
      <c r="H263" s="1888" t="str">
        <f>'Part II-Development Team'!H18</f>
        <v>AL</v>
      </c>
      <c r="I263" s="1863"/>
      <c r="J263" s="1863"/>
      <c r="K263" s="1879" t="s">
        <v>2128</v>
      </c>
      <c r="L263" s="1877">
        <f>'Part II-Development Team'!L18</f>
        <v>368304303</v>
      </c>
      <c r="M263" s="1914"/>
      <c r="N263" s="1863"/>
      <c r="O263" s="1888" t="s">
        <v>1889</v>
      </c>
      <c r="P263" s="1863"/>
      <c r="Q263" s="1878">
        <f>'Part II-Development Team'!Q18</f>
        <v>3344440967</v>
      </c>
      <c r="R263" s="1878"/>
      <c r="S263" s="1878"/>
      <c r="Z263" s="1857">
        <v>18</v>
      </c>
    </row>
    <row r="264" spans="2:26" s="1856" customFormat="1" ht="11.25" customHeight="1">
      <c r="D264" s="1887"/>
      <c r="E264" s="1858" t="s">
        <v>3615</v>
      </c>
      <c r="H264" s="1878">
        <f>'Part II-Development Team'!H19</f>
        <v>3343210529</v>
      </c>
      <c r="I264" s="1878"/>
      <c r="J264" s="1918">
        <f>'Part II-Development Team'!J19</f>
        <v>0</v>
      </c>
      <c r="K264" s="1879" t="s">
        <v>1894</v>
      </c>
      <c r="L264" s="1872" t="str">
        <f>'Part II-Development Team'!L19</f>
        <v>fred@thebennettgrp.net</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3615</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3615</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3614</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Affordable Equity Partners, Inc</v>
      </c>
      <c r="I279" s="1914"/>
      <c r="J279" s="1914"/>
      <c r="K279" s="1914"/>
      <c r="L279" s="1914"/>
      <c r="M279" s="1914"/>
      <c r="N279" s="1914"/>
      <c r="O279" s="1888" t="s">
        <v>1899</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2553</v>
      </c>
      <c r="L281" s="1863" t="str">
        <f>'Part II-Development Team'!L36</f>
        <v>www.aepartners.com</v>
      </c>
      <c r="M281" s="1914"/>
      <c r="N281" s="1914"/>
      <c r="O281" s="1888" t="s">
        <v>1644</v>
      </c>
      <c r="P281" s="1863"/>
      <c r="Q281" s="1878">
        <f>'Part II-Development Team'!Q36</f>
        <v>5734432021</v>
      </c>
      <c r="R281" s="1878"/>
      <c r="S281" s="1878"/>
      <c r="Z281" s="1857">
        <v>36</v>
      </c>
    </row>
    <row r="282" spans="3:26" s="1856" customFormat="1" ht="11.25" customHeight="1">
      <c r="E282" s="1858" t="s">
        <v>1717</v>
      </c>
      <c r="H282" s="1888" t="str">
        <f>'Part II-Development Team'!H37</f>
        <v>MO</v>
      </c>
      <c r="I282" s="1863"/>
      <c r="J282" s="1863"/>
      <c r="K282" s="1879" t="s">
        <v>2128</v>
      </c>
      <c r="L282" s="1877">
        <f>'Part II-Development Team'!L37</f>
        <v>652034905</v>
      </c>
      <c r="M282" s="1914"/>
      <c r="N282" s="1863"/>
      <c r="O282" s="1888" t="s">
        <v>1889</v>
      </c>
      <c r="P282" s="1863"/>
      <c r="Q282" s="1878">
        <f>'Part II-Development Team'!Q37</f>
        <v>5734248811</v>
      </c>
      <c r="R282" s="1878"/>
      <c r="S282" s="1878"/>
      <c r="Z282" s="1857">
        <v>37</v>
      </c>
    </row>
    <row r="283" spans="3:26" s="1856" customFormat="1" ht="11.25" customHeight="1">
      <c r="D283" s="1887"/>
      <c r="E283" s="1858" t="s">
        <v>3615</v>
      </c>
      <c r="H283" s="1878">
        <f>'Part II-Development Team'!H38</f>
        <v>5734432021</v>
      </c>
      <c r="I283" s="1878"/>
      <c r="J283" s="1918">
        <f>'Part II-Development Team'!J38</f>
        <v>0</v>
      </c>
      <c r="K283" s="1879" t="s">
        <v>1894</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Affordable Equity Partners, Inc.</v>
      </c>
      <c r="I285" s="1914"/>
      <c r="J285" s="1914"/>
      <c r="K285" s="1914"/>
      <c r="L285" s="1914"/>
      <c r="M285" s="1914"/>
      <c r="N285" s="1914"/>
      <c r="O285" s="1888" t="s">
        <v>1899</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2553</v>
      </c>
      <c r="L287" s="1863" t="str">
        <f>'Part II-Development Team'!L42</f>
        <v>www.aepartners.com</v>
      </c>
      <c r="M287" s="1914"/>
      <c r="N287" s="1914"/>
      <c r="O287" s="1888" t="s">
        <v>1644</v>
      </c>
      <c r="P287" s="1863"/>
      <c r="Q287" s="1878">
        <f>'Part II-Development Team'!Q42</f>
        <v>5734432021</v>
      </c>
      <c r="R287" s="1878"/>
      <c r="S287" s="1878"/>
      <c r="Z287" s="1857">
        <v>42</v>
      </c>
    </row>
    <row r="288" spans="3:26" s="1856" customFormat="1" ht="11.25" customHeight="1">
      <c r="E288" s="1858" t="s">
        <v>1717</v>
      </c>
      <c r="H288" s="1888" t="str">
        <f>'Part II-Development Team'!H43</f>
        <v>MO</v>
      </c>
      <c r="I288" s="1863"/>
      <c r="J288" s="1863"/>
      <c r="K288" s="1879" t="s">
        <v>2128</v>
      </c>
      <c r="L288" s="1877">
        <f>'Part II-Development Team'!L43</f>
        <v>652034905</v>
      </c>
      <c r="M288" s="1914"/>
      <c r="N288" s="1863"/>
      <c r="O288" s="1888" t="s">
        <v>1889</v>
      </c>
      <c r="P288" s="1863"/>
      <c r="Q288" s="1878">
        <f>'Part II-Development Team'!Q43</f>
        <v>5734248811</v>
      </c>
      <c r="R288" s="1878"/>
      <c r="S288" s="1878"/>
      <c r="Z288" s="1857">
        <v>43</v>
      </c>
    </row>
    <row r="289" spans="1:26" s="1856" customFormat="1" ht="11.25" customHeight="1">
      <c r="D289" s="1887"/>
      <c r="E289" s="1858" t="s">
        <v>3615</v>
      </c>
      <c r="H289" s="1878">
        <f>'Part II-Development Team'!H44</f>
        <v>5734432021</v>
      </c>
      <c r="I289" s="1878"/>
      <c r="J289" s="1918">
        <f>'Part II-Development Team'!J44</f>
        <v>0</v>
      </c>
      <c r="K289" s="1879" t="s">
        <v>1894</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3614</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3615</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3614</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Bennett &amp; Company, LLC</v>
      </c>
      <c r="I300" s="1914"/>
      <c r="J300" s="1914"/>
      <c r="K300" s="1914"/>
      <c r="L300" s="1914"/>
      <c r="M300" s="1914"/>
      <c r="N300" s="1914"/>
      <c r="O300" s="1888" t="s">
        <v>1899</v>
      </c>
      <c r="P300" s="1888"/>
      <c r="Q300" s="1863" t="str">
        <f>'Part II-Development Team'!Q55</f>
        <v>Fred Bennett</v>
      </c>
      <c r="R300" s="1914"/>
      <c r="S300" s="1914"/>
      <c r="Z300" s="1857">
        <v>55</v>
      </c>
    </row>
    <row r="301" spans="1:26" s="1856" customFormat="1" ht="11.25" customHeight="1">
      <c r="D301" s="1887"/>
      <c r="E301" s="1858" t="s">
        <v>982</v>
      </c>
      <c r="F301" s="1860"/>
      <c r="H301" s="1863" t="str">
        <f>'Part II-Development Team'!H56</f>
        <v>730 N. Dean Road, Suite 100</v>
      </c>
      <c r="I301" s="1914"/>
      <c r="J301" s="1914"/>
      <c r="K301" s="1914"/>
      <c r="L301" s="1914"/>
      <c r="M301" s="1914"/>
      <c r="N301" s="1914"/>
      <c r="O301" s="1888" t="s">
        <v>1668</v>
      </c>
      <c r="P301" s="1863"/>
      <c r="Q301" s="1863" t="str">
        <f>'Part II-Development Team'!Q56</f>
        <v>Sole Member</v>
      </c>
      <c r="R301" s="1914"/>
      <c r="S301" s="1914"/>
      <c r="Z301" s="1857">
        <v>56</v>
      </c>
    </row>
    <row r="302" spans="1:26" s="1856" customFormat="1" ht="11.25" customHeight="1">
      <c r="D302" s="1887"/>
      <c r="E302" s="1858" t="s">
        <v>588</v>
      </c>
      <c r="H302" s="1863" t="str">
        <f>'Part II-Development Team'!H57</f>
        <v>Auburn</v>
      </c>
      <c r="I302" s="1914"/>
      <c r="J302" s="1914"/>
      <c r="K302" s="1879" t="s">
        <v>2553</v>
      </c>
      <c r="L302" s="1863" t="str">
        <f>'Part II-Development Team'!L57</f>
        <v>www.thebennettgrp.net</v>
      </c>
      <c r="M302" s="1914"/>
      <c r="N302" s="1914"/>
      <c r="O302" s="1888" t="s">
        <v>1644</v>
      </c>
      <c r="P302" s="1863"/>
      <c r="Q302" s="1878">
        <f>'Part II-Development Team'!Q57</f>
        <v>3343210529</v>
      </c>
      <c r="R302" s="1878"/>
      <c r="S302" s="1878"/>
      <c r="Z302" s="1857">
        <v>57</v>
      </c>
    </row>
    <row r="303" spans="1:26" s="1856" customFormat="1" ht="11.25" customHeight="1">
      <c r="E303" s="1858" t="s">
        <v>1717</v>
      </c>
      <c r="H303" s="1888" t="str">
        <f>'Part II-Development Team'!H58</f>
        <v>AL</v>
      </c>
      <c r="I303" s="1863"/>
      <c r="J303" s="1863"/>
      <c r="K303" s="1879" t="s">
        <v>2128</v>
      </c>
      <c r="L303" s="1877">
        <f>'Part II-Development Team'!L58</f>
        <v>368304303</v>
      </c>
      <c r="M303" s="1914"/>
      <c r="N303" s="1863"/>
      <c r="O303" s="1888" t="s">
        <v>1889</v>
      </c>
      <c r="P303" s="1863"/>
      <c r="Q303" s="1878">
        <f>'Part II-Development Team'!Q58</f>
        <v>3344440967</v>
      </c>
      <c r="R303" s="1878"/>
      <c r="S303" s="1878"/>
      <c r="Z303" s="1857">
        <v>58</v>
      </c>
    </row>
    <row r="304" spans="1:26" s="1856" customFormat="1" ht="11.25" customHeight="1">
      <c r="D304" s="1887"/>
      <c r="E304" s="1858" t="s">
        <v>3615</v>
      </c>
      <c r="H304" s="1878">
        <f>'Part II-Development Team'!H59</f>
        <v>3343210529</v>
      </c>
      <c r="I304" s="1878"/>
      <c r="J304" s="1918">
        <f>'Part II-Development Team'!J59</f>
        <v>0</v>
      </c>
      <c r="K304" s="1879" t="s">
        <v>1894</v>
      </c>
      <c r="L304" s="1872" t="str">
        <f>'Part II-Development Team'!L59</f>
        <v>fred@thebennettgrp.net</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3615</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3615</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3615</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3614</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3615</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Fairway Construction Company, Inc</v>
      </c>
      <c r="I332" s="1914"/>
      <c r="J332" s="1914"/>
      <c r="K332" s="1914"/>
      <c r="L332" s="1914"/>
      <c r="M332" s="1914"/>
      <c r="N332" s="1914"/>
      <c r="O332" s="1888" t="s">
        <v>1899</v>
      </c>
      <c r="P332" s="1888"/>
      <c r="Q332" s="1863" t="str">
        <f>'Part II-Development Team'!Q87</f>
        <v>Brian Parr</v>
      </c>
      <c r="R332" s="1914"/>
      <c r="S332" s="1914"/>
      <c r="Z332" s="1868">
        <v>87</v>
      </c>
    </row>
    <row r="333" spans="1:26" s="1856" customFormat="1" ht="11.25" customHeight="1">
      <c r="D333" s="1887"/>
      <c r="E333" s="1858" t="s">
        <v>982</v>
      </c>
      <c r="F333" s="1860"/>
      <c r="H333" s="1863" t="str">
        <f>'Part II-Development Team'!H88</f>
        <v>206 Peach Way</v>
      </c>
      <c r="I333" s="1914"/>
      <c r="J333" s="1914"/>
      <c r="K333" s="1914"/>
      <c r="L333" s="1914"/>
      <c r="M333" s="1914"/>
      <c r="N333" s="1914"/>
      <c r="O333" s="1888" t="s">
        <v>1668</v>
      </c>
      <c r="P333" s="1863"/>
      <c r="Q333" s="1863" t="str">
        <f>'Part II-Development Team'!Q88</f>
        <v>Director of Construction</v>
      </c>
      <c r="R333" s="1914"/>
      <c r="S333" s="1914"/>
      <c r="Z333" s="1857">
        <v>88</v>
      </c>
    </row>
    <row r="334" spans="1:26" s="1856" customFormat="1" ht="11.25" customHeight="1">
      <c r="D334" s="1887"/>
      <c r="E334" s="1858" t="s">
        <v>588</v>
      </c>
      <c r="H334" s="1863" t="str">
        <f>'Part II-Development Team'!H89</f>
        <v>Columbia</v>
      </c>
      <c r="I334" s="1914"/>
      <c r="J334" s="1914"/>
      <c r="K334" s="1879" t="s">
        <v>2553</v>
      </c>
      <c r="L334" s="1863" t="str">
        <f>'Part II-Development Team'!L89</f>
        <v>www.fairwayconstruction.net</v>
      </c>
      <c r="M334" s="1914"/>
      <c r="N334" s="1914"/>
      <c r="O334" s="1888" t="s">
        <v>1644</v>
      </c>
      <c r="P334" s="1863"/>
      <c r="Q334" s="1878">
        <f>'Part II-Development Team'!Q89</f>
        <v>5734432021</v>
      </c>
      <c r="R334" s="1878"/>
      <c r="S334" s="1878"/>
      <c r="Z334" s="1857">
        <v>89</v>
      </c>
    </row>
    <row r="335" spans="1:26" s="1856" customFormat="1" ht="11.25" customHeight="1">
      <c r="E335" s="1858" t="s">
        <v>1717</v>
      </c>
      <c r="H335" s="1888" t="str">
        <f>'Part II-Development Team'!H90</f>
        <v>MO</v>
      </c>
      <c r="I335" s="1863"/>
      <c r="J335" s="1863"/>
      <c r="K335" s="1879" t="s">
        <v>2128</v>
      </c>
      <c r="L335" s="1877">
        <f>'Part II-Development Team'!L90</f>
        <v>652034905</v>
      </c>
      <c r="M335" s="1914"/>
      <c r="N335" s="1863"/>
      <c r="O335" s="1888" t="s">
        <v>1889</v>
      </c>
      <c r="P335" s="1863"/>
      <c r="Q335" s="1878">
        <f>'Part II-Development Team'!Q90</f>
        <v>0</v>
      </c>
      <c r="R335" s="1878"/>
      <c r="S335" s="1878"/>
      <c r="Z335" s="1857">
        <v>90</v>
      </c>
    </row>
    <row r="336" spans="1:26" s="1856" customFormat="1" ht="11.25" customHeight="1">
      <c r="D336" s="1887"/>
      <c r="E336" s="1858" t="s">
        <v>3615</v>
      </c>
      <c r="H336" s="1878">
        <f>'Part II-Development Team'!H91</f>
        <v>5734432021</v>
      </c>
      <c r="I336" s="1878"/>
      <c r="J336" s="1918">
        <f>'Part II-Development Team'!J91</f>
        <v>0</v>
      </c>
      <c r="K336" s="1879" t="s">
        <v>1894</v>
      </c>
      <c r="L336" s="1872" t="str">
        <f>'Part II-Development Team'!L91</f>
        <v>bparr@fairwayconstruction.net</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 Co., Inc</v>
      </c>
      <c r="I338" s="1914"/>
      <c r="J338" s="1914"/>
      <c r="K338" s="1914"/>
      <c r="L338" s="1914"/>
      <c r="M338" s="1914"/>
      <c r="N338" s="1914"/>
      <c r="O338" s="1888" t="s">
        <v>1899</v>
      </c>
      <c r="P338" s="1888"/>
      <c r="Q338" s="1863" t="str">
        <f>'Part II-Development Team'!Q93</f>
        <v>Eric Stout</v>
      </c>
      <c r="R338" s="1914"/>
      <c r="S338" s="1914"/>
      <c r="Z338" s="1868">
        <v>93</v>
      </c>
    </row>
    <row r="339" spans="2:26" s="1856" customFormat="1" ht="11.25" customHeight="1">
      <c r="D339" s="1887"/>
      <c r="E339" s="1858" t="s">
        <v>982</v>
      </c>
      <c r="F339" s="1860"/>
      <c r="H339" s="1863" t="str">
        <f>'Part II-Development Team'!H94</f>
        <v>3290 Northside Parkway, Suite 300</v>
      </c>
      <c r="I339" s="1914"/>
      <c r="J339" s="1914"/>
      <c r="K339" s="1914"/>
      <c r="L339" s="1914"/>
      <c r="M339" s="1914"/>
      <c r="N339" s="1914"/>
      <c r="O339" s="1888" t="s">
        <v>1668</v>
      </c>
      <c r="P339" s="1863"/>
      <c r="Q339" s="1863" t="str">
        <f>'Part II-Development Team'!Q94</f>
        <v>Regional Director</v>
      </c>
      <c r="R339" s="1914"/>
      <c r="S339" s="1914"/>
      <c r="Z339" s="1857">
        <v>94</v>
      </c>
    </row>
    <row r="340" spans="2:26" s="1856" customFormat="1" ht="11.25" customHeight="1">
      <c r="D340" s="1887"/>
      <c r="E340" s="1858" t="s">
        <v>588</v>
      </c>
      <c r="H340" s="1863" t="str">
        <f>'Part II-Development Team'!H95</f>
        <v>Atlanta</v>
      </c>
      <c r="I340" s="1914"/>
      <c r="J340" s="1914"/>
      <c r="K340" s="1879" t="s">
        <v>2553</v>
      </c>
      <c r="L340" s="1863" t="str">
        <f>'Part II-Development Team'!L95</f>
        <v>www.fairwaymanagement.com</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GA</v>
      </c>
      <c r="I341" s="1863"/>
      <c r="J341" s="1863"/>
      <c r="K341" s="1879" t="s">
        <v>2128</v>
      </c>
      <c r="L341" s="1877">
        <f>'Part II-Development Team'!L96</f>
        <v>303272122</v>
      </c>
      <c r="M341" s="1914"/>
      <c r="N341" s="1863"/>
      <c r="O341" s="1888" t="s">
        <v>1889</v>
      </c>
      <c r="P341" s="1863"/>
      <c r="Q341" s="1878">
        <f>'Part II-Development Team'!Q96</f>
        <v>0</v>
      </c>
      <c r="R341" s="1878"/>
      <c r="S341" s="1878"/>
      <c r="Z341" s="1857">
        <v>96</v>
      </c>
    </row>
    <row r="342" spans="2:26" s="1856" customFormat="1" ht="11.25" customHeight="1">
      <c r="D342" s="1887"/>
      <c r="E342" s="1858" t="s">
        <v>3615</v>
      </c>
      <c r="H342" s="1878">
        <f>'Part II-Development Team'!H97</f>
        <v>5734432021</v>
      </c>
      <c r="I342" s="1878"/>
      <c r="J342" s="1918">
        <f>'Part II-Development Team'!J97</f>
        <v>0</v>
      </c>
      <c r="K342" s="1879" t="s">
        <v>1894</v>
      </c>
      <c r="L342" s="1872" t="str">
        <f>'Part II-Development Team'!L97</f>
        <v>estout@fairwaymanagement.com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Bradley</v>
      </c>
      <c r="I344" s="1914"/>
      <c r="J344" s="1914"/>
      <c r="K344" s="1914"/>
      <c r="L344" s="1914"/>
      <c r="M344" s="1914"/>
      <c r="N344" s="1914"/>
      <c r="O344" s="1888" t="s">
        <v>1899</v>
      </c>
      <c r="P344" s="1888"/>
      <c r="Q344" s="1863" t="str">
        <f>'Part II-Development Team'!Q99</f>
        <v>Atkins Roberts</v>
      </c>
      <c r="R344" s="1914"/>
      <c r="S344" s="1914"/>
      <c r="Z344" s="1857">
        <v>99</v>
      </c>
    </row>
    <row r="345" spans="2:26" s="1856" customFormat="1" ht="11.25" customHeight="1">
      <c r="D345" s="1887"/>
      <c r="E345" s="1858" t="s">
        <v>982</v>
      </c>
      <c r="F345" s="1860"/>
      <c r="H345" s="1863" t="str">
        <f>'Part II-Development Team'!H100</f>
        <v>1918 5th Avenue N</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Birmingham</v>
      </c>
      <c r="I346" s="1914"/>
      <c r="J346" s="1914"/>
      <c r="K346" s="1879" t="s">
        <v>2553</v>
      </c>
      <c r="L346" s="1863">
        <f>'Part II-Development Team'!L101</f>
        <v>0</v>
      </c>
      <c r="M346" s="1914"/>
      <c r="N346" s="1914"/>
      <c r="O346" s="1888" t="s">
        <v>1644</v>
      </c>
      <c r="P346" s="1863"/>
      <c r="Q346" s="1878">
        <f>'Part II-Development Team'!Q101</f>
        <v>2055218501</v>
      </c>
      <c r="R346" s="1878"/>
      <c r="S346" s="1878"/>
      <c r="Z346" s="1857">
        <v>101</v>
      </c>
    </row>
    <row r="347" spans="2:26" s="1856" customFormat="1" ht="11.25" customHeight="1">
      <c r="D347" s="1887"/>
      <c r="E347" s="1858" t="s">
        <v>1717</v>
      </c>
      <c r="H347" s="1888" t="str">
        <f>'Part II-Development Team'!H102</f>
        <v>AL</v>
      </c>
      <c r="I347" s="1863"/>
      <c r="J347" s="1863"/>
      <c r="K347" s="1879" t="s">
        <v>2128</v>
      </c>
      <c r="L347" s="1877">
        <f>'Part II-Development Team'!L102</f>
        <v>352030000</v>
      </c>
      <c r="M347" s="1914"/>
      <c r="N347" s="1863"/>
      <c r="O347" s="1888" t="s">
        <v>1889</v>
      </c>
      <c r="P347" s="1863"/>
      <c r="Q347" s="1878">
        <f>'Part II-Development Team'!Q102</f>
        <v>0</v>
      </c>
      <c r="R347" s="1878"/>
      <c r="S347" s="1878"/>
      <c r="Z347" s="1868">
        <v>102</v>
      </c>
    </row>
    <row r="348" spans="2:26" s="1865" customFormat="1" ht="11.25" customHeight="1">
      <c r="E348" s="1858" t="s">
        <v>3615</v>
      </c>
      <c r="F348" s="1856"/>
      <c r="G348" s="1856"/>
      <c r="H348" s="1878">
        <f>'Part II-Development Team'!H103</f>
        <v>2055669976</v>
      </c>
      <c r="I348" s="1878"/>
      <c r="J348" s="1918">
        <f>'Part II-Development Team'!J103</f>
        <v>0</v>
      </c>
      <c r="K348" s="1879" t="s">
        <v>1894</v>
      </c>
      <c r="L348" s="1872" t="str">
        <f>'Part II-Development Team'!L103</f>
        <v>aroberts@babc.com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Tidwell</v>
      </c>
      <c r="I350" s="1914"/>
      <c r="J350" s="1914"/>
      <c r="K350" s="1914"/>
      <c r="L350" s="1914"/>
      <c r="M350" s="1914"/>
      <c r="N350" s="1914"/>
      <c r="O350" s="1888" t="s">
        <v>1899</v>
      </c>
      <c r="P350" s="1888"/>
      <c r="Q350" s="1863" t="str">
        <f>'Part II-Development Team'!Q105</f>
        <v>Tidwell</v>
      </c>
      <c r="R350" s="1914"/>
      <c r="S350" s="1914"/>
      <c r="Z350" s="1857">
        <v>105</v>
      </c>
    </row>
    <row r="351" spans="2:26" s="1856" customFormat="1" ht="11.25" customHeight="1">
      <c r="D351" s="1887"/>
      <c r="E351" s="1858" t="s">
        <v>982</v>
      </c>
      <c r="F351" s="1860"/>
      <c r="H351" s="1863" t="str">
        <f>'Part II-Development Team'!H106</f>
        <v>2001 Park Place #900</v>
      </c>
      <c r="I351" s="1914"/>
      <c r="J351" s="1914"/>
      <c r="K351" s="1914"/>
      <c r="L351" s="1914"/>
      <c r="M351" s="1914"/>
      <c r="N351" s="1914"/>
      <c r="O351" s="1888" t="s">
        <v>1668</v>
      </c>
      <c r="P351" s="1863"/>
      <c r="Q351" s="1863" t="str">
        <f>'Part II-Development Team'!Q106</f>
        <v>Managing Partner</v>
      </c>
      <c r="R351" s="1914"/>
      <c r="S351" s="1914"/>
      <c r="Z351" s="1857">
        <v>106</v>
      </c>
    </row>
    <row r="352" spans="2:26" s="1856" customFormat="1" ht="11.25" customHeight="1">
      <c r="D352" s="1887"/>
      <c r="E352" s="1858" t="s">
        <v>588</v>
      </c>
      <c r="H352" s="1863" t="str">
        <f>'Part II-Development Team'!H107</f>
        <v>Birmingham</v>
      </c>
      <c r="I352" s="1914"/>
      <c r="J352" s="1914"/>
      <c r="K352" s="1879" t="s">
        <v>2553</v>
      </c>
      <c r="L352" s="1863">
        <f>'Part II-Development Team'!L107</f>
        <v>0</v>
      </c>
      <c r="M352" s="1914"/>
      <c r="N352" s="1914"/>
      <c r="O352" s="1888" t="s">
        <v>1644</v>
      </c>
      <c r="P352" s="1863"/>
      <c r="Q352" s="1878">
        <f>'Part II-Development Team'!Q107</f>
        <v>2058221010</v>
      </c>
      <c r="R352" s="1878"/>
      <c r="S352" s="1878"/>
      <c r="Z352" s="1857">
        <v>107</v>
      </c>
    </row>
    <row r="353" spans="1:26" s="1856" customFormat="1" ht="11.25" customHeight="1">
      <c r="D353" s="1887"/>
      <c r="E353" s="1858" t="s">
        <v>1717</v>
      </c>
      <c r="H353" s="1888" t="str">
        <f>'Part II-Development Team'!H108</f>
        <v>AL</v>
      </c>
      <c r="I353" s="1863"/>
      <c r="J353" s="1863"/>
      <c r="K353" s="1879" t="s">
        <v>2128</v>
      </c>
      <c r="L353" s="1877">
        <f>'Part II-Development Team'!L108</f>
        <v>352030000</v>
      </c>
      <c r="M353" s="1914"/>
      <c r="N353" s="1863"/>
      <c r="O353" s="1888" t="s">
        <v>1889</v>
      </c>
      <c r="P353" s="1863"/>
      <c r="Q353" s="1878">
        <f>'Part II-Development Team'!Q108</f>
        <v>0</v>
      </c>
      <c r="R353" s="1878"/>
      <c r="S353" s="1878"/>
      <c r="Z353" s="1857">
        <v>108</v>
      </c>
    </row>
    <row r="354" spans="1:26" s="1865" customFormat="1" ht="11.25" customHeight="1">
      <c r="E354" s="1858" t="s">
        <v>3615</v>
      </c>
      <c r="F354" s="1856"/>
      <c r="G354" s="1856"/>
      <c r="H354" s="1878">
        <f>'Part II-Development Team'!H109</f>
        <v>2058221010</v>
      </c>
      <c r="I354" s="1878"/>
      <c r="J354" s="1918">
        <f>'Part II-Development Team'!J109</f>
        <v>0</v>
      </c>
      <c r="K354" s="1879" t="s">
        <v>1894</v>
      </c>
      <c r="L354" s="1872" t="str">
        <f>'Part II-Development Team'!L109</f>
        <v>barry.tidwell@thefctgroup.com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McKean &amp; Associates, Architects, LLC</v>
      </c>
      <c r="I356" s="1914"/>
      <c r="J356" s="1914"/>
      <c r="K356" s="1914"/>
      <c r="L356" s="1914"/>
      <c r="M356" s="1914"/>
      <c r="N356" s="1914"/>
      <c r="O356" s="1888" t="s">
        <v>1899</v>
      </c>
      <c r="P356" s="1888"/>
      <c r="Q356" s="1863" t="str">
        <f>'Part II-Development Team'!Q111</f>
        <v>Rory McKean</v>
      </c>
      <c r="R356" s="1914"/>
      <c r="S356" s="1914"/>
      <c r="Z356" s="1868">
        <v>111</v>
      </c>
    </row>
    <row r="357" spans="1:26" s="1856" customFormat="1" ht="11.25" customHeight="1">
      <c r="D357" s="1887"/>
      <c r="E357" s="1858" t="s">
        <v>982</v>
      </c>
      <c r="F357" s="1860"/>
      <c r="H357" s="1863" t="str">
        <f>'Part II-Development Team'!H112</f>
        <v>2315 Eastchase Lane</v>
      </c>
      <c r="I357" s="1914"/>
      <c r="J357" s="1914"/>
      <c r="K357" s="1914"/>
      <c r="L357" s="1914"/>
      <c r="M357" s="1914"/>
      <c r="N357" s="1914"/>
      <c r="O357" s="1888" t="s">
        <v>1668</v>
      </c>
      <c r="P357" s="1863"/>
      <c r="Q357" s="1863" t="str">
        <f>'Part II-Development Team'!Q112</f>
        <v>President</v>
      </c>
      <c r="R357" s="1914"/>
      <c r="S357" s="1914"/>
      <c r="Z357" s="1857">
        <v>112</v>
      </c>
    </row>
    <row r="358" spans="1:26" s="1856" customFormat="1" ht="11.25" customHeight="1">
      <c r="D358" s="1887"/>
      <c r="E358" s="1858" t="s">
        <v>588</v>
      </c>
      <c r="H358" s="1863" t="str">
        <f>'Part II-Development Team'!H113</f>
        <v>Montgomery</v>
      </c>
      <c r="I358" s="1914"/>
      <c r="J358" s="1914"/>
      <c r="K358" s="1879" t="s">
        <v>2553</v>
      </c>
      <c r="L358" s="1863">
        <f>'Part II-Development Team'!L113</f>
        <v>0</v>
      </c>
      <c r="M358" s="1914"/>
      <c r="N358" s="1914"/>
      <c r="O358" s="1888" t="s">
        <v>1644</v>
      </c>
      <c r="P358" s="1863"/>
      <c r="Q358" s="1878">
        <f>'Part II-Development Team'!Q113</f>
        <v>3342724044</v>
      </c>
      <c r="R358" s="1878"/>
      <c r="S358" s="1878"/>
      <c r="Z358" s="1857">
        <v>113</v>
      </c>
    </row>
    <row r="359" spans="1:26" s="1856" customFormat="1" ht="11.25" customHeight="1">
      <c r="D359" s="1887"/>
      <c r="E359" s="1858" t="s">
        <v>1717</v>
      </c>
      <c r="H359" s="1888" t="str">
        <f>'Part II-Development Team'!H114</f>
        <v>AL</v>
      </c>
      <c r="I359" s="1863"/>
      <c r="J359" s="1863"/>
      <c r="K359" s="1879" t="s">
        <v>2128</v>
      </c>
      <c r="L359" s="1877">
        <f>'Part II-Development Team'!L114</f>
        <v>361177026</v>
      </c>
      <c r="M359" s="1914"/>
      <c r="N359" s="1863"/>
      <c r="O359" s="1888" t="s">
        <v>1889</v>
      </c>
      <c r="P359" s="1863"/>
      <c r="Q359" s="1878">
        <f>'Part II-Development Team'!Q114</f>
        <v>0</v>
      </c>
      <c r="R359" s="1878"/>
      <c r="S359" s="1878"/>
      <c r="Z359" s="1857">
        <v>114</v>
      </c>
    </row>
    <row r="360" spans="1:26" s="1856" customFormat="1" ht="11.25" customHeight="1">
      <c r="D360" s="1887"/>
      <c r="E360" s="1858" t="s">
        <v>3615</v>
      </c>
      <c r="H360" s="1878">
        <f>'Part II-Development Team'!H115</f>
        <v>3342724044</v>
      </c>
      <c r="I360" s="1878"/>
      <c r="J360" s="1918">
        <f>'Part II-Development Team'!J115</f>
        <v>0</v>
      </c>
      <c r="K360" s="1879" t="s">
        <v>1894</v>
      </c>
      <c r="L360" s="1872" t="str">
        <f>'Part II-Development Team'!L115</f>
        <v>mckean@mckeanarch.com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7004</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7071</v>
      </c>
      <c r="H365" s="1863" t="str">
        <f>'Part II-Development Team'!H120</f>
        <v>Majestic Development, LLC</v>
      </c>
      <c r="I365" s="1863"/>
      <c r="J365" s="1863"/>
      <c r="K365" s="1879" t="s">
        <v>1716</v>
      </c>
      <c r="L365" s="1863" t="str">
        <f>'Part II-Development Team'!L120</f>
        <v>Russell Adams</v>
      </c>
      <c r="M365" s="1914"/>
      <c r="N365" s="1914"/>
      <c r="O365" s="1888" t="s">
        <v>3262</v>
      </c>
      <c r="P365" s="1863"/>
      <c r="Q365" s="1878">
        <f>'Part II-Development Team'!Q120</f>
        <v>0</v>
      </c>
      <c r="R365" s="1964"/>
      <c r="S365" s="1964"/>
      <c r="Z365" s="1857">
        <v>120</v>
      </c>
    </row>
    <row r="366" spans="1:26" s="1856" customFormat="1" ht="11.25" customHeight="1">
      <c r="D366" s="1887"/>
      <c r="E366" s="1858" t="s">
        <v>6487</v>
      </c>
      <c r="F366" s="1860"/>
      <c r="H366" s="1863" t="str">
        <f>'Part II-Development Team'!H121</f>
        <v>241 Majestic Oak Circle</v>
      </c>
      <c r="I366" s="1914"/>
      <c r="J366" s="1914"/>
      <c r="K366" s="1914"/>
      <c r="L366" s="1914"/>
      <c r="M366" s="1914"/>
      <c r="N366" s="1914"/>
      <c r="O366" s="1888" t="s">
        <v>588</v>
      </c>
      <c r="P366" s="1863"/>
      <c r="Q366" s="1863" t="str">
        <f>'Part II-Development Team'!Q121</f>
        <v>Byron</v>
      </c>
      <c r="R366" s="1914"/>
      <c r="S366" s="1914"/>
      <c r="Z366" s="1857">
        <v>121</v>
      </c>
    </row>
    <row r="367" spans="1:26" s="1856" customFormat="1">
      <c r="D367" s="1887"/>
      <c r="E367" s="1858" t="s">
        <v>1717</v>
      </c>
      <c r="H367" s="1888" t="str">
        <f>'Part II-Development Team'!H122</f>
        <v>GA</v>
      </c>
      <c r="I367" s="1879" t="s">
        <v>2128</v>
      </c>
      <c r="J367" s="1877">
        <f>'Part II-Development Team'!J122</f>
        <v>310080000</v>
      </c>
      <c r="K367" s="1914"/>
      <c r="L367" s="1879" t="s">
        <v>1894</v>
      </c>
      <c r="M367" s="1872" t="str">
        <f>'Part II-Development Team'!M122</f>
        <v>iaff107@aol.com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7072</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6487</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7005</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6487</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7073</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6487</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7006</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6487</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7074</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6487</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7007</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6487</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7008</v>
      </c>
      <c r="H393" s="1863">
        <f>'Part II-Development Team'!H148</f>
        <v>0</v>
      </c>
      <c r="I393" s="1863"/>
      <c r="J393" s="1863"/>
      <c r="K393" s="1879" t="s">
        <v>1716</v>
      </c>
      <c r="L393" s="1863">
        <f>'Part II-Development Team'!L148</f>
        <v>0</v>
      </c>
      <c r="M393" s="1914"/>
      <c r="N393" s="1914"/>
      <c r="O393" s="1888" t="s">
        <v>3262</v>
      </c>
      <c r="P393" s="1863"/>
      <c r="Q393" s="1878">
        <f>'Part II-Development Team'!Q148</f>
        <v>0</v>
      </c>
      <c r="R393" s="1964"/>
      <c r="S393" s="1964"/>
      <c r="Z393" s="1857">
        <v>148</v>
      </c>
    </row>
    <row r="394" spans="1:26" s="1856" customFormat="1" ht="11.25" customHeight="1">
      <c r="D394" s="1887"/>
      <c r="E394" s="1858" t="s">
        <v>6487</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6842</v>
      </c>
      <c r="H397" s="1854"/>
      <c r="I397" s="1854"/>
      <c r="J397" s="1854"/>
      <c r="K397" s="1854"/>
      <c r="L397" s="1854"/>
      <c r="M397" s="1854"/>
      <c r="N397" s="1854"/>
      <c r="O397" s="1854"/>
      <c r="P397" s="1854"/>
      <c r="Q397" s="1854"/>
      <c r="R397" s="1854"/>
      <c r="S397" s="1854"/>
      <c r="Z397" s="1857">
        <v>152</v>
      </c>
    </row>
    <row r="398" spans="1:26" s="1865" customFormat="1" ht="13.5" customHeight="1">
      <c r="A398" s="1856" t="s">
        <v>3437</v>
      </c>
      <c r="B398" s="1856"/>
      <c r="C398" s="1856"/>
      <c r="D398" s="1856"/>
      <c r="E398" s="1856"/>
      <c r="H398" s="1879" t="s">
        <v>2392</v>
      </c>
      <c r="I398" s="1863" t="s">
        <v>6794</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6485</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Yes</v>
      </c>
      <c r="I404" s="1951" t="str">
        <f>'Part II-Development Team'!I159</f>
        <v>The Federal and State Syndicator and the General Contractor are related parties.</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4074</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4073</v>
      </c>
      <c r="C407" s="1854" t="str">
        <f>+'Part II-Development Team'!C162</f>
        <v>Syndicator &amp; Management Company</v>
      </c>
      <c r="D407" s="1854"/>
      <c r="E407" s="1854"/>
      <c r="F407" s="1854"/>
      <c r="G407" s="1854"/>
      <c r="H407" s="1966" t="str">
        <f>'Part II-Development Team'!H162</f>
        <v>Yes</v>
      </c>
      <c r="I407" s="1951" t="str">
        <f>'Part II-Development Team'!I162</f>
        <v>The Federal and State Syndicator and the Management Company are related parties.</v>
      </c>
      <c r="J407" s="1951"/>
      <c r="K407" s="1951"/>
      <c r="L407" s="1951"/>
      <c r="M407" s="1951"/>
      <c r="N407" s="1951"/>
      <c r="O407" s="1951"/>
      <c r="P407" s="1951"/>
      <c r="Q407" s="1951"/>
      <c r="R407" s="1951"/>
      <c r="S407" s="1951"/>
      <c r="Z407" s="1857">
        <v>162</v>
      </c>
    </row>
    <row r="408" spans="1:26" s="1856" customFormat="1" ht="13.35" customHeight="1">
      <c r="A408" s="1856" t="s">
        <v>1711</v>
      </c>
      <c r="B408" s="1856" t="s">
        <v>7075</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6843</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7009</v>
      </c>
      <c r="L411" s="1907" t="s">
        <v>7010</v>
      </c>
      <c r="M411" s="1905" t="s">
        <v>7011</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7076</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No</v>
      </c>
      <c r="J421" s="1966" t="str">
        <f>'Part II-Development Team'!J176</f>
        <v>No</v>
      </c>
      <c r="K421" s="1969">
        <f>'Part II-Development Team'!K176</f>
        <v>0</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f>'Part II-Development Team'!A186</f>
        <v>0</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2021-014 Dunbar Court, Byron, Peach County</v>
      </c>
      <c r="B436" s="1856"/>
      <c r="C436" s="1856"/>
      <c r="D436" s="1856"/>
      <c r="E436" s="1856"/>
      <c r="F436" s="1856"/>
      <c r="G436" s="1856"/>
      <c r="H436" s="1856"/>
      <c r="I436" s="1856"/>
      <c r="J436" s="1856"/>
      <c r="K436" s="1856"/>
      <c r="L436" s="1856"/>
      <c r="M436" s="1856"/>
      <c r="N436" s="1856"/>
      <c r="O436" s="1856"/>
      <c r="P436" s="1856"/>
      <c r="Q436" s="1856"/>
      <c r="S436" s="1875" t="str">
        <f>$A$2</f>
        <v>Dunbar Court</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6290</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4058</v>
      </c>
      <c r="D441" s="1856"/>
      <c r="E441" s="1879" t="str">
        <f>'Part III-Sources of Funds'!E7</f>
        <v>No</v>
      </c>
      <c r="F441" s="1859" t="s">
        <v>6291</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6292</v>
      </c>
      <c r="H442" s="1869" t="str">
        <f>'Part III-Sources of Funds'!H8</f>
        <v>Specify Other HOME Source here</v>
      </c>
      <c r="I442" s="1869"/>
      <c r="J442" s="1869"/>
      <c r="L442" s="1879" t="str">
        <f>'Part III-Sources of Funds'!L8</f>
        <v>No</v>
      </c>
      <c r="M442" s="1859" t="s">
        <v>3276</v>
      </c>
      <c r="P442" s="1890"/>
      <c r="Q442" s="1890"/>
      <c r="S442" s="1956"/>
      <c r="T442" s="1956"/>
      <c r="Y442" s="1972"/>
      <c r="Z442" s="1857">
        <v>8</v>
      </c>
      <c r="AZ442" s="1972"/>
    </row>
    <row r="443" spans="1:52" s="1875" customFormat="1" ht="16.5" customHeight="1">
      <c r="A443" s="1857"/>
      <c r="B443" s="1879" t="str">
        <f>'Part III-Sources of Funds'!B9</f>
        <v>No</v>
      </c>
      <c r="C443" s="1875" t="s">
        <v>3441</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4059</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3319</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3322</v>
      </c>
      <c r="F446" s="1869" t="str">
        <f>'Part III-Sources of Funds'!F12</f>
        <v>Specify Source/Administrator of Other STATE/LOCAL Funding here</v>
      </c>
      <c r="G446" s="1869"/>
      <c r="H446" s="1869"/>
      <c r="I446" s="1869"/>
      <c r="J446" s="1869"/>
      <c r="L446" s="1879" t="str">
        <f>'Part III-Sources of Funds'!L12</f>
        <v>No</v>
      </c>
      <c r="M446" s="1875" t="s">
        <v>3352</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3351</v>
      </c>
      <c r="H447" s="1869" t="str">
        <f>'Part III-Sources of Funds'!H13</f>
        <v>Specify Other PBRA Source here</v>
      </c>
      <c r="I447" s="1869"/>
      <c r="J447" s="1869"/>
      <c r="L447" s="1879" t="str">
        <f>'Part III-Sources of Funds'!L13</f>
        <v>No</v>
      </c>
      <c r="M447" s="1875" t="s">
        <v>6289</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3440</v>
      </c>
      <c r="L448" s="1879" t="str">
        <f>'Part III-Sources of Funds'!L14</f>
        <v>No</v>
      </c>
      <c r="M448" s="1875" t="s">
        <v>6535</v>
      </c>
      <c r="S448" s="1956"/>
      <c r="T448" s="1956"/>
      <c r="Y448" s="1972"/>
      <c r="Z448" s="1857">
        <v>14</v>
      </c>
      <c r="AZ448" s="1972"/>
    </row>
    <row r="449" spans="1:52" s="1875" customFormat="1" ht="16.5" customHeight="1">
      <c r="A449" s="1857"/>
      <c r="B449" s="1879" t="str">
        <f>'Part III-Sources of Funds'!B15</f>
        <v>No</v>
      </c>
      <c r="C449" s="1875" t="s">
        <v>3350</v>
      </c>
      <c r="E449" s="1879" t="str">
        <f>'Part III-Sources of Funds'!E15</f>
        <v>No</v>
      </c>
      <c r="F449" s="1859" t="s">
        <v>6293</v>
      </c>
      <c r="L449" s="1879" t="str">
        <f>'Part III-Sources of Funds'!L15</f>
        <v>Yes</v>
      </c>
      <c r="M449" s="1890" t="s">
        <v>6294</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6835</v>
      </c>
      <c r="I450" s="1975">
        <f>'Part III-Sources of Funds'!I16</f>
        <v>0</v>
      </c>
      <c r="J450" s="1976"/>
      <c r="L450" s="1879" t="str">
        <f>'Part III-Sources of Funds'!L16</f>
        <v>No</v>
      </c>
      <c r="M450" s="1890" t="s">
        <v>6288</v>
      </c>
      <c r="Y450" s="1972"/>
      <c r="Z450" s="1857">
        <v>16</v>
      </c>
      <c r="AZ450" s="1972"/>
    </row>
    <row r="451" spans="1:52" s="1875" customFormat="1" ht="17.100000000000001" customHeight="1">
      <c r="A451" s="1857"/>
      <c r="B451" s="1875" t="s">
        <v>4060</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4023</v>
      </c>
      <c r="M455" s="1856"/>
      <c r="N455" s="1856" t="s">
        <v>1446</v>
      </c>
      <c r="O455" s="1856"/>
      <c r="P455" s="1856" t="s">
        <v>1564</v>
      </c>
      <c r="Q455" s="1856"/>
      <c r="S455" s="1852" t="s">
        <v>2537</v>
      </c>
      <c r="T455" s="1852"/>
      <c r="Y455" s="1972"/>
      <c r="Z455" s="1857">
        <v>21</v>
      </c>
      <c r="AZ455" s="1972" t="s">
        <v>6652</v>
      </c>
    </row>
    <row r="456" spans="1:52" s="1875" customFormat="1" ht="15.75" customHeight="1">
      <c r="A456" s="1856"/>
      <c r="B456" s="1856" t="s">
        <v>1525</v>
      </c>
      <c r="C456" s="1856"/>
      <c r="D456" s="1856"/>
      <c r="E456" s="1856"/>
      <c r="F456" s="1856"/>
      <c r="G456" s="1856"/>
      <c r="H456" s="1863" t="str">
        <f>'Part III-Sources of Funds'!H22</f>
        <v>United Bank</v>
      </c>
      <c r="I456" s="1863"/>
      <c r="J456" s="1863"/>
      <c r="K456" s="1863"/>
      <c r="L456" s="1871">
        <f>'Part III-Sources of Funds'!L22</f>
        <v>7662012</v>
      </c>
      <c r="M456" s="1871"/>
      <c r="N456" s="1977">
        <f>'Part III-Sources of Funds'!N22</f>
        <v>4.9250000000000002E-2</v>
      </c>
      <c r="O456" s="1977"/>
      <c r="P456" s="1978">
        <f>'Part III-Sources of Funds'!P22</f>
        <v>24</v>
      </c>
      <c r="Q456" s="1978"/>
      <c r="S456" s="1956"/>
      <c r="T456" s="1956"/>
      <c r="Y456" s="1972" t="s">
        <v>6652</v>
      </c>
      <c r="Z456" s="1857">
        <v>22</v>
      </c>
      <c r="AZ456" s="1972" t="s">
        <v>6653</v>
      </c>
    </row>
    <row r="457" spans="1:52" s="1875" customFormat="1" ht="15.75" customHeight="1">
      <c r="A457" s="1856"/>
      <c r="B457" s="1856" t="s">
        <v>1526</v>
      </c>
      <c r="C457" s="1856"/>
      <c r="D457" s="1856"/>
      <c r="E457" s="1856"/>
      <c r="F457" s="1856"/>
      <c r="G457" s="1856"/>
      <c r="H457" s="1863" t="str">
        <f>'Part III-Sources of Funds'!H23</f>
        <v>United Bank (Capital Magnet Funds)</v>
      </c>
      <c r="I457" s="1863"/>
      <c r="J457" s="1863"/>
      <c r="K457" s="1863"/>
      <c r="L457" s="1871">
        <f>'Part III-Sources of Funds'!L23</f>
        <v>480000</v>
      </c>
      <c r="M457" s="1871"/>
      <c r="N457" s="1977">
        <f>'Part III-Sources of Funds'!N23</f>
        <v>2.1399999999999999E-2</v>
      </c>
      <c r="O457" s="1977"/>
      <c r="P457" s="1978">
        <f>'Part III-Sources of Funds'!P23</f>
        <v>24</v>
      </c>
      <c r="Q457" s="1978"/>
      <c r="S457" s="1956"/>
      <c r="T457" s="1956"/>
      <c r="Y457" s="1972" t="s">
        <v>6653</v>
      </c>
      <c r="Z457" s="1857">
        <v>23</v>
      </c>
      <c r="AZ457" s="1972" t="s">
        <v>6654</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6654</v>
      </c>
      <c r="Z458" s="1857">
        <v>24</v>
      </c>
      <c r="AZ458" s="1972" t="s">
        <v>6655</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6655</v>
      </c>
      <c r="Z459" s="1857">
        <v>25</v>
      </c>
      <c r="AZ459" s="1972" t="s">
        <v>6656</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6656</v>
      </c>
      <c r="Z460" s="1868">
        <v>26</v>
      </c>
      <c r="AZ460" s="1972" t="s">
        <v>6657</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6657</v>
      </c>
      <c r="Z461" s="1857">
        <v>27</v>
      </c>
      <c r="AZ461" s="1972" t="s">
        <v>6658</v>
      </c>
    </row>
    <row r="462" spans="1:52" s="1875" customFormat="1" ht="15.75" customHeight="1">
      <c r="A462" s="1856"/>
      <c r="B462" s="1856" t="s">
        <v>769</v>
      </c>
      <c r="C462" s="1856"/>
      <c r="D462" s="1856"/>
      <c r="E462" s="1856"/>
      <c r="H462" s="1863" t="str">
        <f>'Part III-Sources of Funds'!H28</f>
        <v>Affordable Equity Partners, Inc.</v>
      </c>
      <c r="I462" s="1863"/>
      <c r="J462" s="1863"/>
      <c r="K462" s="1863"/>
      <c r="L462" s="1871">
        <f>'Part III-Sources of Funds'!L28</f>
        <v>1514548</v>
      </c>
      <c r="M462" s="1871"/>
      <c r="N462" s="1856"/>
      <c r="Q462" s="1856"/>
      <c r="S462" s="1956"/>
      <c r="T462" s="1956"/>
      <c r="Y462" s="1972" t="s">
        <v>6658</v>
      </c>
      <c r="Z462" s="1857">
        <v>28</v>
      </c>
      <c r="AZ462" s="1972" t="s">
        <v>6659</v>
      </c>
    </row>
    <row r="463" spans="1:52" s="1875" customFormat="1" ht="15.75" customHeight="1">
      <c r="A463" s="1856"/>
      <c r="B463" s="1856" t="s">
        <v>770</v>
      </c>
      <c r="C463" s="1856"/>
      <c r="D463" s="1856"/>
      <c r="E463" s="1856"/>
      <c r="H463" s="1863" t="str">
        <f>'Part III-Sources of Funds'!H29</f>
        <v>Affordable Equity Partners, Inc.</v>
      </c>
      <c r="I463" s="1863"/>
      <c r="J463" s="1863"/>
      <c r="K463" s="1863"/>
      <c r="L463" s="1871">
        <f>'Part III-Sources of Funds'!L29</f>
        <v>717300</v>
      </c>
      <c r="M463" s="1871"/>
      <c r="N463" s="1856"/>
      <c r="Q463" s="1856"/>
      <c r="S463" s="1956"/>
      <c r="T463" s="1956"/>
      <c r="Y463" s="1972" t="s">
        <v>6659</v>
      </c>
      <c r="Z463" s="1857">
        <v>29</v>
      </c>
      <c r="AZ463" s="1972" t="s">
        <v>6660</v>
      </c>
    </row>
    <row r="464" spans="1:52" s="1875" customFormat="1" ht="15.75" customHeight="1">
      <c r="A464" s="1856"/>
      <c r="B464" s="1856" t="s">
        <v>231</v>
      </c>
      <c r="C464" s="1856"/>
      <c r="D464" s="1863" t="str">
        <f>'Part III-Sources of Funds'!D30</f>
        <v>GP Equity</v>
      </c>
      <c r="E464" s="1863"/>
      <c r="F464" s="1863"/>
      <c r="G464" s="1863"/>
      <c r="H464" s="1863">
        <f>'Part III-Sources of Funds'!H30</f>
        <v>0</v>
      </c>
      <c r="I464" s="1863"/>
      <c r="J464" s="1863"/>
      <c r="K464" s="1863"/>
      <c r="L464" s="1871">
        <f>'Part III-Sources of Funds'!L30</f>
        <v>100</v>
      </c>
      <c r="M464" s="1871"/>
      <c r="N464" s="1856"/>
      <c r="Q464" s="1856"/>
      <c r="S464" s="1956"/>
      <c r="T464" s="1956"/>
      <c r="Y464" s="1972" t="s">
        <v>6660</v>
      </c>
      <c r="Z464" s="1857">
        <v>30</v>
      </c>
      <c r="AZ464" s="1972" t="s">
        <v>6661</v>
      </c>
    </row>
    <row r="465" spans="1:52" s="1875" customFormat="1" ht="15.75" customHeight="1">
      <c r="A465" s="1856"/>
      <c r="B465" s="1856" t="s">
        <v>231</v>
      </c>
      <c r="C465" s="1856"/>
      <c r="D465" s="1863" t="str">
        <f>'Part III-Sources of Funds'!D31</f>
        <v>LP Equity</v>
      </c>
      <c r="E465" s="1863"/>
      <c r="F465" s="1863"/>
      <c r="G465" s="1863"/>
      <c r="H465" s="1863">
        <f>'Part III-Sources of Funds'!H31</f>
        <v>0</v>
      </c>
      <c r="I465" s="1863"/>
      <c r="J465" s="1863"/>
      <c r="K465" s="1863"/>
      <c r="L465" s="1871">
        <f>'Part III-Sources of Funds'!L31</f>
        <v>10</v>
      </c>
      <c r="M465" s="1871"/>
      <c r="N465" s="1856"/>
      <c r="S465" s="1956"/>
      <c r="T465" s="1956"/>
      <c r="Y465" s="1972" t="s">
        <v>6661</v>
      </c>
      <c r="Z465" s="1857">
        <v>31</v>
      </c>
      <c r="AZ465" s="1972" t="s">
        <v>6662</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6662</v>
      </c>
      <c r="Z466" s="1857">
        <v>32</v>
      </c>
      <c r="AZ466" s="1972"/>
    </row>
    <row r="467" spans="1:52" s="1875" customFormat="1" ht="16.5" customHeight="1">
      <c r="A467" s="1856"/>
      <c r="B467" s="1858" t="s">
        <v>1250</v>
      </c>
      <c r="C467" s="1856"/>
      <c r="D467" s="1856"/>
      <c r="E467" s="1856"/>
      <c r="F467" s="1856"/>
      <c r="G467" s="1856"/>
      <c r="H467" s="1856"/>
      <c r="I467" s="1856"/>
      <c r="L467" s="1980">
        <f>SUM(L456:L466)</f>
        <v>10373970</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10373970</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4022</v>
      </c>
      <c r="J473" s="1856"/>
      <c r="K473" s="1857" t="s">
        <v>1722</v>
      </c>
      <c r="L473" s="1857" t="s">
        <v>2113</v>
      </c>
      <c r="M473" s="1857" t="s">
        <v>2113</v>
      </c>
      <c r="N473" s="1856" t="s">
        <v>69</v>
      </c>
      <c r="O473" s="1856"/>
      <c r="P473" s="1874"/>
      <c r="Q473" s="1874"/>
      <c r="S473" s="1852" t="s">
        <v>2537</v>
      </c>
      <c r="T473" s="1852"/>
      <c r="Y473" s="1972"/>
      <c r="Z473" s="1857">
        <v>39</v>
      </c>
      <c r="AZ473" s="1972" t="s">
        <v>6663</v>
      </c>
    </row>
    <row r="474" spans="1:52" s="1875" customFormat="1" ht="15.75" customHeight="1">
      <c r="A474" s="1856"/>
      <c r="B474" s="1856" t="s">
        <v>2490</v>
      </c>
      <c r="C474" s="1856"/>
      <c r="D474" s="1856"/>
      <c r="E474" s="1863" t="str">
        <f>'Part III-Sources of Funds'!E40</f>
        <v>United Bank (Capital Magnet Funds)</v>
      </c>
      <c r="F474" s="1863"/>
      <c r="G474" s="1863"/>
      <c r="H474" s="1863"/>
      <c r="I474" s="1894">
        <f>'Part III-Sources of Funds'!I40</f>
        <v>480000</v>
      </c>
      <c r="J474" s="1863"/>
      <c r="K474" s="1983">
        <f>'Part III-Sources of Funds'!K40</f>
        <v>2.1399999999999999E-2</v>
      </c>
      <c r="L474" s="1879">
        <f>'Part III-Sources of Funds'!L40</f>
        <v>10</v>
      </c>
      <c r="M474" s="1879">
        <f>'Part III-Sources of Funds'!M40</f>
        <v>10</v>
      </c>
      <c r="N474" s="1863" t="str">
        <f>'Part III-Sources of Funds'!N40</f>
        <v>Amortizing</v>
      </c>
      <c r="O474" s="1863"/>
      <c r="P474" s="1981">
        <f>'Part III-Sources of Funds'!P40</f>
        <v>53361.668851685332</v>
      </c>
      <c r="Q474" s="1981"/>
      <c r="S474" s="1956"/>
      <c r="T474" s="1956"/>
      <c r="Y474" s="1972" t="s">
        <v>6663</v>
      </c>
      <c r="Z474" s="1857">
        <v>40</v>
      </c>
      <c r="AZ474" s="1972" t="s">
        <v>6664</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6664</v>
      </c>
      <c r="Z475" s="1857">
        <v>41</v>
      </c>
      <c r="AZ475" s="1972" t="s">
        <v>6665</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6665</v>
      </c>
      <c r="Z476" s="1857">
        <v>42</v>
      </c>
      <c r="AZ476" s="1972" t="s">
        <v>6666</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6666</v>
      </c>
      <c r="Z477" s="1857">
        <v>43</v>
      </c>
      <c r="AZ477" s="1972" t="s">
        <v>6667</v>
      </c>
    </row>
    <row r="478" spans="1:52" s="1875" customFormat="1" ht="15.75" customHeight="1">
      <c r="A478" s="1856"/>
      <c r="B478" s="1856" t="s">
        <v>4145</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6667</v>
      </c>
      <c r="Z478" s="1868">
        <v>44</v>
      </c>
      <c r="AZ478" s="1972" t="s">
        <v>6668</v>
      </c>
    </row>
    <row r="479" spans="1:52" s="1875" customFormat="1" ht="15.75" customHeight="1">
      <c r="A479" s="1856"/>
      <c r="B479" s="1856" t="s">
        <v>219</v>
      </c>
      <c r="C479" s="1856"/>
      <c r="D479" s="1985">
        <f>'Part III-Sources of Funds'!D45</f>
        <v>1.4479166666666666E-2</v>
      </c>
      <c r="E479" s="1863" t="str">
        <f>'Part III-Sources of Funds'!E45</f>
        <v>Bennett &amp; Company, LLC</v>
      </c>
      <c r="F479" s="1863"/>
      <c r="G479" s="1863"/>
      <c r="H479" s="1863"/>
      <c r="I479" s="1894">
        <f>'Part III-Sources of Funds'!I45</f>
        <v>17375</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6668</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3559</v>
      </c>
      <c r="C481" s="1856"/>
      <c r="E481" s="1875" t="s">
        <v>3512</v>
      </c>
      <c r="F481" s="1988">
        <f>'Part III-Sources of Funds'!F47</f>
        <v>83938.076181917713</v>
      </c>
      <c r="H481" s="1989" t="s">
        <v>3558</v>
      </c>
      <c r="I481" s="1988">
        <f>'Part III-Sources of Funds'!I47</f>
        <v>17375</v>
      </c>
      <c r="K481" s="1989" t="s">
        <v>3560</v>
      </c>
      <c r="L481" s="1990">
        <f>'Part III-Sources of Funds'!L47</f>
        <v>0.20699783447911563</v>
      </c>
      <c r="M481" s="1990"/>
      <c r="N481" s="1981" t="s">
        <v>4029</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6669</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6669</v>
      </c>
      <c r="Z483" s="1857">
        <v>49</v>
      </c>
      <c r="AZ483" s="1972" t="s">
        <v>6670</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6670</v>
      </c>
      <c r="Z484" s="1857">
        <v>50</v>
      </c>
      <c r="AZ484" s="1972" t="s">
        <v>6671</v>
      </c>
    </row>
    <row r="485" spans="1:52" s="1875" customFormat="1" ht="15.75" customHeight="1">
      <c r="A485" s="1856"/>
      <c r="B485" s="1856" t="s">
        <v>769</v>
      </c>
      <c r="C485" s="1856"/>
      <c r="D485" s="1856"/>
      <c r="E485" s="1863" t="str">
        <f>'Part III-Sources of Funds'!E51</f>
        <v>Affordable Equity Partners, Inc.</v>
      </c>
      <c r="F485" s="1863"/>
      <c r="G485" s="1863"/>
      <c r="H485" s="1863"/>
      <c r="I485" s="1894">
        <f>'Part III-Sources of Funds'!I51</f>
        <v>7649235</v>
      </c>
      <c r="J485" s="1863"/>
      <c r="L485" s="1995">
        <f>'Part III-Sources of Funds'!L51</f>
        <v>7650000</v>
      </c>
      <c r="M485" s="1995"/>
      <c r="N485" s="1996">
        <f>I485-L485</f>
        <v>-765</v>
      </c>
      <c r="O485" s="1996"/>
      <c r="P485" s="1997">
        <f>I485/I495</f>
        <v>0.65620817863000913</v>
      </c>
      <c r="Q485" s="1856"/>
      <c r="S485" s="1956"/>
      <c r="T485" s="1956"/>
      <c r="Y485" s="1972" t="s">
        <v>6671</v>
      </c>
      <c r="Z485" s="1868">
        <v>51</v>
      </c>
      <c r="AZ485" s="1972" t="s">
        <v>6672</v>
      </c>
    </row>
    <row r="486" spans="1:52" s="1875" customFormat="1" ht="15.75" customHeight="1">
      <c r="A486" s="1856"/>
      <c r="B486" s="1856" t="s">
        <v>770</v>
      </c>
      <c r="C486" s="1856"/>
      <c r="D486" s="1856"/>
      <c r="E486" s="1863" t="str">
        <f>'Part III-Sources of Funds'!E52</f>
        <v>Affordable Equity Partners, Inc.</v>
      </c>
      <c r="F486" s="1863"/>
      <c r="G486" s="1863"/>
      <c r="H486" s="1863"/>
      <c r="I486" s="1894">
        <f>'Part III-Sources of Funds'!I52</f>
        <v>3510000</v>
      </c>
      <c r="J486" s="1863"/>
      <c r="L486" s="1995">
        <f>'Part III-Sources of Funds'!L52</f>
        <v>3510000</v>
      </c>
      <c r="M486" s="1995"/>
      <c r="N486" s="1996">
        <f>I486-L486</f>
        <v>0</v>
      </c>
      <c r="O486" s="1996"/>
      <c r="P486" s="1997">
        <f>I486/I495</f>
        <v>0.30111386393427997</v>
      </c>
      <c r="Q486" s="1856"/>
      <c r="S486" s="1956"/>
      <c r="T486" s="1956"/>
      <c r="Y486" s="1972" t="s">
        <v>6672</v>
      </c>
      <c r="Z486" s="1857">
        <v>52</v>
      </c>
      <c r="AZ486" s="1972" t="s">
        <v>6673</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0.9573220425642891</v>
      </c>
      <c r="Q487" s="1856"/>
      <c r="S487" s="1956"/>
      <c r="T487" s="1956"/>
      <c r="Y487" s="1972" t="s">
        <v>6673</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6674</v>
      </c>
    </row>
    <row r="491" spans="1:52" s="1875" customFormat="1" ht="15.75" customHeight="1">
      <c r="A491" s="1856"/>
      <c r="B491" s="1856" t="s">
        <v>711</v>
      </c>
      <c r="C491" s="1863" t="str">
        <f>'Part III-Sources of Funds'!C57</f>
        <v>GP Equity</v>
      </c>
      <c r="D491" s="1863"/>
      <c r="E491" s="1863">
        <f>'Part III-Sources of Funds'!E57</f>
        <v>0</v>
      </c>
      <c r="F491" s="1863"/>
      <c r="G491" s="1863"/>
      <c r="H491" s="1863"/>
      <c r="I491" s="1894">
        <f>'Part III-Sources of Funds'!I57</f>
        <v>100</v>
      </c>
      <c r="J491" s="1863"/>
      <c r="M491" s="1856"/>
      <c r="N491" s="1856"/>
      <c r="O491" s="1856"/>
      <c r="P491" s="1856"/>
      <c r="Q491" s="1856"/>
      <c r="S491" s="1956"/>
      <c r="T491" s="1956"/>
      <c r="Y491" s="1972" t="s">
        <v>6674</v>
      </c>
      <c r="Z491" s="1857">
        <v>57</v>
      </c>
      <c r="AZ491" s="1972" t="s">
        <v>6675</v>
      </c>
    </row>
    <row r="492" spans="1:52" s="1875" customFormat="1" ht="15.75" customHeight="1">
      <c r="A492" s="1856"/>
      <c r="B492" s="1856" t="s">
        <v>711</v>
      </c>
      <c r="C492" s="1863" t="str">
        <f>'Part III-Sources of Funds'!C58</f>
        <v>LP Equity</v>
      </c>
      <c r="D492" s="1863"/>
      <c r="E492" s="1863">
        <f>'Part III-Sources of Funds'!E58</f>
        <v>0</v>
      </c>
      <c r="F492" s="1863"/>
      <c r="G492" s="1863"/>
      <c r="H492" s="1863"/>
      <c r="I492" s="1894">
        <f>'Part III-Sources of Funds'!I58</f>
        <v>10</v>
      </c>
      <c r="J492" s="1863"/>
      <c r="K492" s="1856"/>
      <c r="L492" s="1857"/>
      <c r="M492" s="1856"/>
      <c r="N492" s="1856"/>
      <c r="O492" s="1856"/>
      <c r="P492" s="1856"/>
      <c r="Q492" s="1856"/>
      <c r="S492" s="1956"/>
      <c r="T492" s="1956"/>
      <c r="Y492" s="1972" t="s">
        <v>6675</v>
      </c>
      <c r="Z492" s="1857">
        <v>58</v>
      </c>
      <c r="AZ492" s="1972" t="s">
        <v>6676</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6676</v>
      </c>
      <c r="Z493" s="1857">
        <v>59</v>
      </c>
      <c r="AZ493" s="1972"/>
    </row>
    <row r="494" spans="1:52" s="1875" customFormat="1" ht="14.25" customHeight="1">
      <c r="A494" s="1856"/>
      <c r="B494" s="1858" t="s">
        <v>2115</v>
      </c>
      <c r="C494" s="1856"/>
      <c r="D494" s="1856"/>
      <c r="E494" s="1856"/>
      <c r="F494" s="1856"/>
      <c r="G494" s="1856"/>
      <c r="I494" s="1980">
        <f>SUM(I474:J479)+SUM(I483:J493)</f>
        <v>11656720</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11656720</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4146</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Per the QAP, DCA will utilize the applicable rate effective as of May 1, 2021. The Long Term Monthly Applicable Federal Rate ("AFR") in effect as of May 1, 2021 is 2.14%. Please see Tab 01 for preliminary commitment letters for financing and equity. United Bank is a certified Community Development Financial Institution, and the proposed loan is offered as a result of the Bank's 2020 Capital Magnet Fund award from the CDFI Fund division of the United States Treasury Department.</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2021-014 Dunbar Court, ,  County</v>
      </c>
      <c r="W505" s="1856" t="str">
        <f>A505</f>
        <v>PART FOUR (A):  USES OF FUNDS  -  2021-014 Dunbar Court,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6500</v>
      </c>
      <c r="H512" s="1871"/>
      <c r="J512" s="1871">
        <f>'Part IV-A-Uses of Funds'!J9</f>
        <v>6500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10000</v>
      </c>
      <c r="H513" s="1871"/>
      <c r="J513" s="1871">
        <f>'Part IV-A-Uses of Funds'!J10</f>
        <v>10000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12000</v>
      </c>
      <c r="H514" s="1871"/>
      <c r="J514" s="1871">
        <f>'Part IV-A-Uses of Funds'!J11</f>
        <v>12000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10000</v>
      </c>
      <c r="H515" s="1871"/>
      <c r="J515" s="1871">
        <f>'Part IV-A-Uses of Funds'!J12</f>
        <v>10000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15000</v>
      </c>
      <c r="H516" s="1871"/>
      <c r="J516" s="1871">
        <f>'Part IV-A-Uses of Funds'!J13</f>
        <v>15000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6576</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6677</v>
      </c>
      <c r="BA518" s="1857">
        <v>15</v>
      </c>
    </row>
    <row r="519" spans="1:53" s="1856" customFormat="1" ht="11.25" customHeight="1">
      <c r="A519" s="2006" t="str">
        <f>IF(AND(G519&gt;0,OR(C519="",C519="&lt;Enter detailed description here; use Comments section if needed&gt;")),"X","")</f>
        <v/>
      </c>
      <c r="B519" s="1864" t="s">
        <v>6577</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6678</v>
      </c>
      <c r="BA519" s="1857">
        <v>16</v>
      </c>
    </row>
    <row r="520" spans="1:53" s="1856" customFormat="1" ht="11.25" customHeight="1">
      <c r="A520" s="2006" t="str">
        <f>IF(AND(G520&gt;0,OR(C520="",C520="&lt;Enter detailed description here; use Comments section if needed&gt;")),"X","")</f>
        <v/>
      </c>
      <c r="B520" s="1864" t="s">
        <v>6578</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6679</v>
      </c>
      <c r="BA520" s="1857">
        <v>17</v>
      </c>
    </row>
    <row r="521" spans="1:53" s="1856" customFormat="1" ht="12.6" customHeight="1">
      <c r="F521" s="2007" t="s">
        <v>183</v>
      </c>
      <c r="G521" s="2002">
        <f>SUM(G512:G520)</f>
        <v>53500</v>
      </c>
      <c r="H521" s="2002"/>
      <c r="J521" s="2002">
        <f>SUM(J512:J520)</f>
        <v>53500</v>
      </c>
      <c r="K521" s="2002"/>
      <c r="L521" s="1889"/>
      <c r="M521" s="2002">
        <f>SUM(M512:M520)</f>
        <v>0</v>
      </c>
      <c r="N521" s="2002"/>
      <c r="P521" s="2002">
        <f>SUM(P512:P520)</f>
        <v>0</v>
      </c>
      <c r="Q521" s="2002"/>
      <c r="S521" s="2002">
        <f>SUM(S512:S520)</f>
        <v>0</v>
      </c>
      <c r="T521" s="2002"/>
      <c r="V521" s="2004">
        <f>SUM(V512:V520)</f>
        <v>0</v>
      </c>
      <c r="W521" s="2005"/>
      <c r="X521" s="2005"/>
      <c r="AZ521" s="1937" t="s">
        <v>6680</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3353</v>
      </c>
      <c r="F523" s="2010">
        <f>IF('Part I-Project Information'!$O$38="","",G523/'Part I-Project Information'!$O$38)</f>
        <v>64318.226795962793</v>
      </c>
      <c r="G523" s="1871">
        <f>'Part IV-A-Uses of Funds'!G20</f>
        <v>650000</v>
      </c>
      <c r="H523" s="1871"/>
      <c r="J523" s="1889"/>
      <c r="K523" s="2002"/>
      <c r="L523" s="1889"/>
      <c r="M523" s="1889"/>
      <c r="N523" s="2002"/>
      <c r="P523" s="1889"/>
      <c r="Q523" s="2002"/>
      <c r="S523" s="1871">
        <f>'Part IV-A-Uses of Funds'!S20</f>
        <v>650000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650000</v>
      </c>
      <c r="H527" s="2002"/>
      <c r="J527" s="1889"/>
      <c r="K527" s="2002"/>
      <c r="L527" s="1889"/>
      <c r="M527" s="2002">
        <f>SUM(M525:M526)</f>
        <v>0</v>
      </c>
      <c r="N527" s="2002"/>
      <c r="P527" s="1889"/>
      <c r="Q527" s="2002"/>
      <c r="S527" s="2002">
        <f>SUM(S523:S526)</f>
        <v>650000</v>
      </c>
      <c r="T527" s="2002"/>
      <c r="V527" s="2004">
        <f>SUM(V523:V526)</f>
        <v>0</v>
      </c>
      <c r="W527" s="2005"/>
      <c r="X527" s="2005"/>
      <c r="AZ527" s="1937" t="s">
        <v>6681</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148634.47456956265</v>
      </c>
      <c r="G529" s="1871">
        <f>'Part IV-A-Uses of Funds'!G26</f>
        <v>1502100</v>
      </c>
      <c r="H529" s="1871"/>
      <c r="J529" s="1871">
        <f>'Part IV-A-Uses of Funds'!J26</f>
        <v>1426995</v>
      </c>
      <c r="K529" s="1871"/>
      <c r="L529" s="1889"/>
      <c r="M529" s="1871">
        <f>'Part IV-A-Uses of Funds'!M26</f>
        <v>0</v>
      </c>
      <c r="N529" s="1871"/>
      <c r="P529" s="1871">
        <f>'Part IV-A-Uses of Funds'!P26</f>
        <v>0</v>
      </c>
      <c r="Q529" s="1871"/>
      <c r="S529" s="1871">
        <f>'Part IV-A-Uses of Funds'!S26</f>
        <v>75105</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1502100</v>
      </c>
      <c r="H531" s="2002"/>
      <c r="J531" s="2002">
        <f>SUM(J529:J530)</f>
        <v>1426995</v>
      </c>
      <c r="K531" s="2002"/>
      <c r="L531" s="1889"/>
      <c r="M531" s="2002">
        <f>M529</f>
        <v>0</v>
      </c>
      <c r="N531" s="2002"/>
      <c r="P531" s="2002">
        <f>P529</f>
        <v>0</v>
      </c>
      <c r="Q531" s="2002"/>
      <c r="S531" s="2002">
        <f>SUM(S529:S530)</f>
        <v>75105</v>
      </c>
      <c r="T531" s="2002"/>
      <c r="V531" s="2004">
        <f>SUM(V529:V530)</f>
        <v>0</v>
      </c>
      <c r="W531" s="2005"/>
      <c r="X531" s="2005"/>
      <c r="AZ531" s="1937" t="s">
        <v>6682</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5479700</v>
      </c>
      <c r="H533" s="1871"/>
      <c r="J533" s="1871">
        <f>'Part IV-A-Uses of Funds'!J30</f>
        <v>5479700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6300</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6298</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6299</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5479700</v>
      </c>
      <c r="H539" s="2002"/>
      <c r="J539" s="2002">
        <f>SUM(J533:J538)</f>
        <v>5479700</v>
      </c>
      <c r="K539" s="2002"/>
      <c r="L539" s="1889"/>
      <c r="M539" s="2002">
        <f>SUM(M533:M538)</f>
        <v>0</v>
      </c>
      <c r="N539" s="2002"/>
      <c r="P539" s="2002">
        <f>SUM(P533:P538)</f>
        <v>0</v>
      </c>
      <c r="Q539" s="2002"/>
      <c r="S539" s="2002">
        <f>SUM(S533:S538)</f>
        <v>0</v>
      </c>
      <c r="T539" s="2002"/>
      <c r="V539" s="2004">
        <f>SUM(V533:V538)</f>
        <v>0</v>
      </c>
      <c r="W539" s="2005"/>
      <c r="X539" s="2005"/>
      <c r="AZ539" s="1937" t="s">
        <v>6683</v>
      </c>
      <c r="BA539" s="1857">
        <v>36</v>
      </c>
    </row>
    <row r="540" spans="2:53" s="1856" customFormat="1" ht="12" customHeight="1">
      <c r="B540" s="1856" t="s">
        <v>2239</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418908</v>
      </c>
      <c r="F541" s="2015">
        <f>IF(($G$28+$G$36)=0,0,G541/($G$28+$G$36))</f>
        <v>0</v>
      </c>
      <c r="G541" s="1871">
        <f>'Part IV-A-Uses of Funds'!G38</f>
        <v>418908</v>
      </c>
      <c r="H541" s="1871"/>
      <c r="I541" s="1865"/>
      <c r="J541" s="1871">
        <f>'Part IV-A-Uses of Funds'!J38</f>
        <v>418908</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139636</v>
      </c>
      <c r="F542" s="2015">
        <f>IF(($G$28+$G$36)=0,0,G542/($G$28+$G$36))</f>
        <v>0</v>
      </c>
      <c r="G542" s="1871">
        <f>'Part IV-A-Uses of Funds'!G39</f>
        <v>139636</v>
      </c>
      <c r="H542" s="1871"/>
      <c r="I542" s="1865"/>
      <c r="J542" s="1871">
        <f>'Part IV-A-Uses of Funds'!J39</f>
        <v>139636</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418908</v>
      </c>
      <c r="F543" s="2015">
        <f>IF(($G$28+$G$36)=0,0,G543/($G$28+$G$36))</f>
        <v>0</v>
      </c>
      <c r="G543" s="1871">
        <f>'Part IV-A-Uses of Funds'!G40</f>
        <v>418908</v>
      </c>
      <c r="H543" s="1871"/>
      <c r="I543" s="1865"/>
      <c r="J543" s="1871">
        <f>'Part IV-A-Uses of Funds'!J40</f>
        <v>418908</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977452</v>
      </c>
      <c r="F544" s="2007" t="s">
        <v>183</v>
      </c>
      <c r="G544" s="2002">
        <f>SUM(G541:G543)</f>
        <v>977452</v>
      </c>
      <c r="H544" s="2002"/>
      <c r="J544" s="2002">
        <f>SUM(J541:J543)</f>
        <v>977452</v>
      </c>
      <c r="K544" s="2002"/>
      <c r="L544" s="1889"/>
      <c r="M544" s="2002">
        <f>SUM(M541:M543)</f>
        <v>0</v>
      </c>
      <c r="N544" s="2002"/>
      <c r="P544" s="2002">
        <f>SUM(P541:P543)</f>
        <v>0</v>
      </c>
      <c r="Q544" s="2002"/>
      <c r="S544" s="2002">
        <f>SUM(S541:S543)</f>
        <v>0</v>
      </c>
      <c r="T544" s="2002"/>
      <c r="V544" s="2004">
        <f>SUM(V541:V543)</f>
        <v>0</v>
      </c>
      <c r="W544" s="2005"/>
      <c r="X544" s="2005"/>
      <c r="AZ544" s="1937" t="s">
        <v>6684</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6816</v>
      </c>
      <c r="E546" s="1857"/>
      <c r="F546" s="1857"/>
      <c r="G546" s="2019">
        <f>G531+G539+G544</f>
        <v>7959252</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6685</v>
      </c>
      <c r="BA547" s="1857">
        <v>44</v>
      </c>
    </row>
    <row r="548" spans="1:53" s="1856" customFormat="1" ht="12" customHeight="1">
      <c r="B548" s="1856" t="s">
        <v>7077</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6579</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6686</v>
      </c>
      <c r="BA550" s="1868">
        <v>47</v>
      </c>
    </row>
    <row r="551" spans="1:53" s="1856" customFormat="1" ht="12.6" customHeight="1">
      <c r="B551" s="2020" t="s">
        <v>7078</v>
      </c>
      <c r="C551" s="2021"/>
      <c r="E551" s="1856" t="s">
        <v>2579</v>
      </c>
      <c r="F551" s="2022">
        <f>C552/'Part VI-Revenues &amp; Expenses'!$P$65</f>
        <v>165817.75</v>
      </c>
      <c r="G551" s="2023" t="s">
        <v>7079</v>
      </c>
      <c r="J551" s="2024">
        <f>C552/'Part VI-Revenues &amp; Expenses'!$P$67</f>
        <v>165817.75</v>
      </c>
      <c r="K551" s="2024"/>
      <c r="M551" s="2025" t="s">
        <v>6796</v>
      </c>
      <c r="N551" s="2025"/>
      <c r="P551" s="2024">
        <f>C552/'Part I-Project Information'!$P$70</f>
        <v>147.29535864978902</v>
      </c>
      <c r="Q551" s="2024"/>
      <c r="S551" s="1896" t="s">
        <v>6798</v>
      </c>
      <c r="T551" s="1896"/>
      <c r="V551" s="2008"/>
      <c r="W551" s="2005"/>
      <c r="X551" s="2005"/>
      <c r="AZ551" s="1937"/>
      <c r="BA551" s="1857">
        <v>48</v>
      </c>
    </row>
    <row r="552" spans="1:53" s="1856" customFormat="1" ht="12.6" customHeight="1">
      <c r="B552" s="2026" t="s">
        <v>6815</v>
      </c>
      <c r="C552" s="2027">
        <f>G531+G539+G544+G549</f>
        <v>7959252</v>
      </c>
      <c r="F552" s="2022">
        <f>C552/'Part VI-Revenues &amp; Expenses'!$P$166</f>
        <v>153.25115526802219</v>
      </c>
      <c r="G552" s="1896" t="s">
        <v>7080</v>
      </c>
      <c r="J552" s="2024">
        <f>C552/'Part VI-Revenues &amp; Expenses'!$P$168</f>
        <v>153.25115526802219</v>
      </c>
      <c r="K552" s="2024"/>
      <c r="M552" s="1896" t="s">
        <v>6797</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7081</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6607</v>
      </c>
      <c r="F557" s="2028" t="s">
        <v>3564</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3563</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397962.60000000003</v>
      </c>
      <c r="F558" s="2031">
        <f>G558/C552</f>
        <v>4.9999924616031755E-2</v>
      </c>
      <c r="G558" s="1871">
        <f>'Part IV-A-Uses of Funds'!G55</f>
        <v>397962</v>
      </c>
      <c r="H558" s="1871"/>
      <c r="I558" s="1856"/>
      <c r="J558" s="1871">
        <f>'Part IV-A-Uses of Funds'!J55</f>
        <v>397962</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6608</v>
      </c>
      <c r="C560" s="2021"/>
      <c r="E560" s="1856" t="s">
        <v>6609</v>
      </c>
      <c r="F560" s="2022">
        <f>B561/'Part VI-Revenues &amp; Expenses'!$P$65</f>
        <v>174108.625</v>
      </c>
      <c r="G560" s="2023" t="s">
        <v>7079</v>
      </c>
      <c r="J560" s="2024">
        <f>B561/'Part VI-Revenues &amp; Expenses'!$P$67</f>
        <v>174108.625</v>
      </c>
      <c r="K560" s="2024"/>
      <c r="M560" s="2025" t="s">
        <v>6796</v>
      </c>
      <c r="N560" s="2025"/>
      <c r="P560" s="2024">
        <f>B561/'Part I-Project Information'!$P$70</f>
        <v>154.66011547856985</v>
      </c>
      <c r="Q560" s="2024"/>
      <c r="S560" s="1896" t="s">
        <v>6798</v>
      </c>
      <c r="T560" s="1896"/>
      <c r="V560" s="2008"/>
      <c r="W560" s="2005"/>
      <c r="X560" s="2005"/>
      <c r="AZ560" s="1937"/>
      <c r="BA560" s="1857">
        <v>54</v>
      </c>
    </row>
    <row r="561" spans="1:53" s="1856" customFormat="1" ht="12.6" customHeight="1">
      <c r="B561" s="2027">
        <f>C552+G558</f>
        <v>8357214</v>
      </c>
      <c r="C561" s="2027"/>
      <c r="F561" s="2022">
        <f>B561/'Part VI-Revenues &amp; Expenses'!$P$166</f>
        <v>160.91370147874306</v>
      </c>
      <c r="G561" s="1896" t="s">
        <v>7080</v>
      </c>
      <c r="J561" s="2024">
        <f>B561/'Part VI-Revenues &amp; Expenses'!$P$168</f>
        <v>160.91370147874306</v>
      </c>
      <c r="K561" s="2024"/>
      <c r="M561" s="1896" t="s">
        <v>6797</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81421</v>
      </c>
      <c r="H566" s="1871"/>
      <c r="J566" s="1871">
        <f>'Part IV-A-Uses of Funds'!J63</f>
        <v>81421</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249118</v>
      </c>
      <c r="H567" s="1871"/>
      <c r="J567" s="1871">
        <f>'Part IV-A-Uses of Funds'!J64</f>
        <v>243040</v>
      </c>
      <c r="K567" s="1871"/>
      <c r="L567" s="1889"/>
      <c r="M567" s="1871">
        <f>'Part IV-A-Uses of Funds'!M64</f>
        <v>0</v>
      </c>
      <c r="N567" s="1871"/>
      <c r="P567" s="1871">
        <f>'Part IV-A-Uses of Funds'!P64</f>
        <v>0</v>
      </c>
      <c r="Q567" s="1871"/>
      <c r="S567" s="1871">
        <f>'Part IV-A-Uses of Funds'!S64</f>
        <v>6078</v>
      </c>
      <c r="T567" s="1871"/>
      <c r="V567" s="2004"/>
      <c r="W567" s="2005"/>
      <c r="X567" s="2005"/>
      <c r="AZ567" s="1937"/>
      <c r="BA567" s="1857">
        <v>64</v>
      </c>
    </row>
    <row r="568" spans="1:53" s="1856" customFormat="1" ht="12" customHeight="1">
      <c r="B568" s="1856" t="s">
        <v>2244</v>
      </c>
      <c r="G568" s="1871">
        <f>'Part IV-A-Uses of Funds'!G65</f>
        <v>25000</v>
      </c>
      <c r="H568" s="1871"/>
      <c r="J568" s="1871">
        <f>'Part IV-A-Uses of Funds'!J65</f>
        <v>25000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6687</v>
      </c>
      <c r="BA568" s="1857">
        <v>65</v>
      </c>
    </row>
    <row r="569" spans="1:53" s="1856" customFormat="1" ht="12" customHeight="1">
      <c r="B569" s="1856" t="s">
        <v>2539</v>
      </c>
      <c r="G569" s="1871">
        <f>'Part IV-A-Uses of Funds'!G66</f>
        <v>0</v>
      </c>
      <c r="H569" s="1871"/>
      <c r="J569" s="1871">
        <f>'Part IV-A-Uses of Funds'!J66</f>
        <v>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6688</v>
      </c>
      <c r="BA569" s="1857">
        <v>66</v>
      </c>
    </row>
    <row r="570" spans="1:53" s="1856" customFormat="1" ht="12" customHeight="1">
      <c r="B570" s="1856" t="s">
        <v>693</v>
      </c>
      <c r="G570" s="1871">
        <f>'Part IV-A-Uses of Funds'!G67</f>
        <v>5000</v>
      </c>
      <c r="H570" s="1871"/>
      <c r="J570" s="1871">
        <f>'Part IV-A-Uses of Funds'!J67</f>
        <v>5000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6689</v>
      </c>
      <c r="BA570" s="1857">
        <v>67</v>
      </c>
    </row>
    <row r="571" spans="1:53" s="1856" customFormat="1" ht="12" customHeight="1">
      <c r="B571" s="1856" t="s">
        <v>2245</v>
      </c>
      <c r="G571" s="1871">
        <f>'Part IV-A-Uses of Funds'!G68</f>
        <v>20000</v>
      </c>
      <c r="H571" s="1871"/>
      <c r="J571" s="1871">
        <f>'Part IV-A-Uses of Funds'!J68</f>
        <v>20000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15000</v>
      </c>
      <c r="H572" s="1871"/>
      <c r="J572" s="1871">
        <f>'Part IV-A-Uses of Funds'!J69</f>
        <v>15000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6581</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6582</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395539</v>
      </c>
      <c r="H576" s="2002"/>
      <c r="J576" s="2002">
        <f>SUM(J564:J575)</f>
        <v>389461</v>
      </c>
      <c r="K576" s="2002"/>
      <c r="L576" s="1889"/>
      <c r="M576" s="2002">
        <f>SUM(M564:M575)</f>
        <v>0</v>
      </c>
      <c r="N576" s="2002"/>
      <c r="P576" s="2002">
        <f>SUM(P564:P575)</f>
        <v>0</v>
      </c>
      <c r="Q576" s="2002"/>
      <c r="S576" s="2002">
        <f>SUM(S564:S575)</f>
        <v>6078</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144000</v>
      </c>
      <c r="H578" s="1871"/>
      <c r="J578" s="1871">
        <f>'Part IV-A-Uses of Funds'!J75</f>
        <v>144000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24000</v>
      </c>
      <c r="H579" s="1871"/>
      <c r="J579" s="1871">
        <f>'Part IV-A-Uses of Funds'!J76</f>
        <v>24000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16000</v>
      </c>
      <c r="H581" s="1871"/>
      <c r="J581" s="1871">
        <f>'Part IV-A-Uses of Funds'!J78</f>
        <v>16000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25000</v>
      </c>
      <c r="H582" s="1871"/>
      <c r="J582" s="1871">
        <f>'Part IV-A-Uses of Funds'!J79</f>
        <v>25000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6690</v>
      </c>
      <c r="BA582" s="1857">
        <v>79</v>
      </c>
    </row>
    <row r="583" spans="1:53" s="1856" customFormat="1" ht="12" customHeight="1">
      <c r="B583" s="1856" t="s">
        <v>1089</v>
      </c>
      <c r="G583" s="1871">
        <f>'Part IV-A-Uses of Funds'!G80</f>
        <v>40000</v>
      </c>
      <c r="H583" s="1871"/>
      <c r="J583" s="1871">
        <f>'Part IV-A-Uses of Funds'!J80</f>
        <v>40000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6691</v>
      </c>
      <c r="BA583" s="1857">
        <v>80</v>
      </c>
    </row>
    <row r="584" spans="1:53" s="1856" customFormat="1" ht="12" customHeight="1">
      <c r="B584" s="1856" t="s">
        <v>459</v>
      </c>
      <c r="G584" s="1871">
        <f>'Part IV-A-Uses of Funds'!G81</f>
        <v>90000</v>
      </c>
      <c r="H584" s="1871"/>
      <c r="J584" s="1871">
        <f>'Part IV-A-Uses of Funds'!J81</f>
        <v>90000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55000</v>
      </c>
      <c r="H585" s="1871"/>
      <c r="J585" s="1871">
        <f>'Part IV-A-Uses of Funds'!J82</f>
        <v>35000</v>
      </c>
      <c r="K585" s="1871"/>
      <c r="L585" s="1889"/>
      <c r="M585" s="1871">
        <f>'Part IV-A-Uses of Funds'!M82</f>
        <v>0</v>
      </c>
      <c r="N585" s="1871"/>
      <c r="P585" s="1871">
        <f>'Part IV-A-Uses of Funds'!P82</f>
        <v>0</v>
      </c>
      <c r="Q585" s="1871"/>
      <c r="S585" s="1871">
        <f>'Part IV-A-Uses of Funds'!S82</f>
        <v>20000</v>
      </c>
      <c r="T585" s="1871"/>
      <c r="V585" s="2004"/>
      <c r="W585" s="2005"/>
      <c r="X585" s="2005"/>
      <c r="AZ585" s="1937"/>
      <c r="BA585" s="1857">
        <v>82</v>
      </c>
    </row>
    <row r="586" spans="1:53" s="1856" customFormat="1" ht="12" customHeight="1">
      <c r="B586" s="1856" t="s">
        <v>1957</v>
      </c>
      <c r="G586" s="1871">
        <f>'Part IV-A-Uses of Funds'!G83</f>
        <v>15000</v>
      </c>
      <c r="H586" s="1871"/>
      <c r="J586" s="1871">
        <f>'Part IV-A-Uses of Funds'!J83</f>
        <v>15000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6583</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439000</v>
      </c>
      <c r="H589" s="2002"/>
      <c r="J589" s="2002">
        <f>SUM(J578:J588)</f>
        <v>419000</v>
      </c>
      <c r="K589" s="2002"/>
      <c r="L589" s="1889"/>
      <c r="M589" s="2002">
        <f>SUM(M578:M588)</f>
        <v>0</v>
      </c>
      <c r="N589" s="2002"/>
      <c r="P589" s="2002">
        <f>SUM(P578:P588)</f>
        <v>0</v>
      </c>
      <c r="Q589" s="2002"/>
      <c r="S589" s="2002">
        <f>SUM(S578:S588)</f>
        <v>20000</v>
      </c>
      <c r="T589" s="2002"/>
      <c r="V589" s="2004">
        <f>SUM(V578:V588)</f>
        <v>0</v>
      </c>
      <c r="W589" s="2005"/>
      <c r="X589" s="2005"/>
      <c r="AZ589" s="1937" t="s">
        <v>6692</v>
      </c>
      <c r="BA589" s="1857">
        <v>86</v>
      </c>
    </row>
    <row r="590" spans="1:53" s="1865" customFormat="1" ht="12" customHeight="1">
      <c r="A590" s="1856"/>
      <c r="B590" s="1856" t="s">
        <v>1221</v>
      </c>
      <c r="C590" s="1856"/>
      <c r="D590" s="2035" t="s">
        <v>3361</v>
      </c>
      <c r="E590" s="2036">
        <f>G595/'Part VI-Revenues &amp; Expenses'!$P$67</f>
        <v>2317.0208333333335</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10017</v>
      </c>
      <c r="H591" s="1871"/>
      <c r="J591" s="1871">
        <f>'Part IV-A-Uses of Funds'!J88</f>
        <v>10017</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48000</v>
      </c>
      <c r="H593" s="1871"/>
      <c r="I593" s="1865"/>
      <c r="J593" s="1871">
        <f>'Part IV-A-Uses of Funds'!J90</f>
        <v>48000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53200</v>
      </c>
      <c r="H594" s="1871"/>
      <c r="I594" s="1865"/>
      <c r="J594" s="1871">
        <f>'Part IV-A-Uses of Funds'!J91</f>
        <v>53200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111217</v>
      </c>
      <c r="H595" s="2002"/>
      <c r="J595" s="2002">
        <f>SUM(J591:J594)</f>
        <v>111217</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7082</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6693</v>
      </c>
      <c r="BA599" s="1868">
        <v>93</v>
      </c>
    </row>
    <row r="600" spans="1:53" s="1856" customFormat="1" ht="12" customHeight="1">
      <c r="B600" s="1856" t="s">
        <v>1226</v>
      </c>
      <c r="G600" s="1871">
        <f>'Part IV-A-Uses of Funds'!G97</f>
        <v>4800</v>
      </c>
      <c r="H600" s="1871"/>
      <c r="J600" s="2002"/>
      <c r="K600" s="2002"/>
      <c r="L600" s="1889"/>
      <c r="M600" s="2002"/>
      <c r="N600" s="2002"/>
      <c r="P600" s="2002"/>
      <c r="Q600" s="2002"/>
      <c r="S600" s="1871">
        <f>'Part IV-A-Uses of Funds'!S97</f>
        <v>4800</v>
      </c>
      <c r="T600" s="1871"/>
      <c r="V600" s="2004"/>
      <c r="W600" s="2005"/>
      <c r="X600" s="2005"/>
      <c r="AZ600" s="1937" t="s">
        <v>6694</v>
      </c>
      <c r="BA600" s="1857">
        <v>94</v>
      </c>
    </row>
    <row r="601" spans="1:53" s="1856" customFormat="1" ht="12" customHeight="1">
      <c r="B601" s="1856" t="s">
        <v>1227</v>
      </c>
      <c r="G601" s="1871">
        <f>'Part IV-A-Uses of Funds'!G98</f>
        <v>20000</v>
      </c>
      <c r="H601" s="1871"/>
      <c r="J601" s="2002"/>
      <c r="K601" s="2002"/>
      <c r="L601" s="1889"/>
      <c r="M601" s="2002"/>
      <c r="N601" s="2002"/>
      <c r="P601" s="2002"/>
      <c r="Q601" s="2002"/>
      <c r="S601" s="1871">
        <f>'Part IV-A-Uses of Funds'!S98</f>
        <v>20000</v>
      </c>
      <c r="T601" s="1871"/>
      <c r="V601" s="2004"/>
      <c r="W601" s="2005"/>
      <c r="X601" s="2005"/>
      <c r="AZ601" s="1937"/>
      <c r="BA601" s="1857">
        <v>95</v>
      </c>
    </row>
    <row r="602" spans="1:53" s="1856" customFormat="1" ht="12" customHeight="1">
      <c r="B602" s="1856" t="s">
        <v>1228</v>
      </c>
      <c r="G602" s="1871">
        <f>'Part IV-A-Uses of Funds'!G99</f>
        <v>10000</v>
      </c>
      <c r="H602" s="1871"/>
      <c r="J602" s="2002"/>
      <c r="K602" s="2002"/>
      <c r="L602" s="1889"/>
      <c r="M602" s="2002"/>
      <c r="N602" s="2002"/>
      <c r="P602" s="2002"/>
      <c r="Q602" s="2002"/>
      <c r="S602" s="1871">
        <f>'Part IV-A-Uses of Funds'!S99</f>
        <v>10000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6584</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34800</v>
      </c>
      <c r="H606" s="2002"/>
      <c r="J606" s="2002"/>
      <c r="K606" s="2002"/>
      <c r="L606" s="1889"/>
      <c r="M606" s="2002"/>
      <c r="N606" s="2002"/>
      <c r="P606" s="2002"/>
      <c r="Q606" s="2002"/>
      <c r="S606" s="2002">
        <f>SUM(S600:S605)</f>
        <v>34800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1000</v>
      </c>
      <c r="H608" s="1871"/>
      <c r="J608" s="1889"/>
      <c r="K608" s="1889"/>
      <c r="L608" s="1889"/>
      <c r="M608" s="1889"/>
      <c r="N608" s="1889"/>
      <c r="P608" s="1889"/>
      <c r="Q608" s="1889"/>
      <c r="S608" s="1871">
        <f>'Part IV-A-Uses of Funds'!S105</f>
        <v>1000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6695</v>
      </c>
      <c r="BA609" s="1857">
        <v>106</v>
      </c>
    </row>
    <row r="610" spans="1:53" s="1856" customFormat="1" ht="12.6" customHeight="1">
      <c r="B610" s="1856" t="s">
        <v>3463</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6696</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6697</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39"/>
      <c r="G612" s="1871">
        <f>'Part IV-A-Uses of Funds'!G109</f>
        <v>48000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48000</v>
      </c>
      <c r="T612" s="1871"/>
      <c r="V612" s="2004"/>
      <c r="W612" s="2005"/>
      <c r="X612" s="2005"/>
      <c r="AZ612" s="1937"/>
      <c r="BA612" s="1868">
        <v>109</v>
      </c>
    </row>
    <row r="613" spans="1:53" s="1856" customFormat="1" ht="12.6" customHeight="1">
      <c r="B613" s="1856" t="s">
        <v>3603</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3604</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6580</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6580</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6698</v>
      </c>
      <c r="BA616" s="1857">
        <v>113</v>
      </c>
    </row>
    <row r="617" spans="1:53" s="1856" customFormat="1" ht="12.6" customHeight="1">
      <c r="F617" s="2007" t="s">
        <v>183</v>
      </c>
      <c r="G617" s="2002">
        <f>SUM(G608:G616)</f>
        <v>133500</v>
      </c>
      <c r="H617" s="2002"/>
      <c r="J617" s="1889"/>
      <c r="K617" s="1889"/>
      <c r="L617" s="1889"/>
      <c r="M617" s="1889"/>
      <c r="N617" s="1889"/>
      <c r="P617" s="1889"/>
      <c r="Q617" s="1889"/>
      <c r="S617" s="2002">
        <f>SUM(S608:S616)</f>
        <v>133500</v>
      </c>
      <c r="T617" s="2002"/>
      <c r="V617" s="2004">
        <f>SUM(V608:V616)</f>
        <v>0</v>
      </c>
      <c r="W617" s="2043"/>
      <c r="X617" s="2043"/>
      <c r="AZ617" s="1937" t="s">
        <v>6699</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v>
      </c>
      <c r="H619" s="1871"/>
      <c r="J619" s="2002"/>
      <c r="K619" s="2002"/>
      <c r="L619" s="1889"/>
      <c r="M619" s="2002"/>
      <c r="N619" s="2002"/>
      <c r="P619" s="2002"/>
      <c r="Q619" s="2002"/>
      <c r="S619" s="1871">
        <f>'Part IV-A-Uses of Funds'!S116</f>
        <v>2500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6580</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v>
      </c>
      <c r="H623" s="2002"/>
      <c r="J623" s="2002"/>
      <c r="K623" s="2002"/>
      <c r="L623" s="1889"/>
      <c r="M623" s="2002"/>
      <c r="N623" s="2002"/>
      <c r="P623" s="2002"/>
      <c r="Q623" s="2002"/>
      <c r="S623" s="2002">
        <f>SUM(S619:S622)</f>
        <v>2500</v>
      </c>
      <c r="T623" s="2002"/>
      <c r="V623" s="2004">
        <f>SUM(V619:V622)</f>
        <v>0</v>
      </c>
      <c r="W623" s="2005"/>
      <c r="X623" s="2005"/>
      <c r="AC623" s="1950" t="s">
        <v>4114</v>
      </c>
      <c r="AD623" s="1950" t="s">
        <v>4115</v>
      </c>
      <c r="AE623" s="1950" t="s">
        <v>4120</v>
      </c>
      <c r="AF623" s="1864" t="s">
        <v>4116</v>
      </c>
      <c r="AZ623" s="1924"/>
      <c r="BA623" s="1857">
        <v>120</v>
      </c>
    </row>
    <row r="624" spans="1:53" s="1856" customFormat="1" ht="13.35" customHeight="1">
      <c r="B624" s="1856" t="s">
        <v>270</v>
      </c>
      <c r="D624" s="1989" t="s">
        <v>4117</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4105</v>
      </c>
      <c r="Z624" s="1967"/>
      <c r="AA624" s="2044" t="s">
        <v>4111</v>
      </c>
      <c r="AB624" s="2044" t="s">
        <v>4112</v>
      </c>
      <c r="AC624" s="1950"/>
      <c r="AD624" s="1950"/>
      <c r="AE624" s="1950"/>
      <c r="AF624" s="1864"/>
      <c r="AI624" s="1924"/>
      <c r="AK624" s="2045"/>
      <c r="AZ624" s="1924" t="s">
        <v>6700</v>
      </c>
      <c r="BA624" s="1868">
        <v>121</v>
      </c>
    </row>
    <row r="625" spans="1:53" s="1856" customFormat="1" ht="12.6" customHeight="1">
      <c r="B625" s="1856" t="s">
        <v>1774</v>
      </c>
      <c r="F625" s="1984">
        <f>IF($G$127=0,0,G625/$G$127)</f>
        <v>0</v>
      </c>
      <c r="G625" s="1871">
        <f>'Part IV-A-Uses of Funds'!G122</f>
        <v>250000</v>
      </c>
      <c r="H625" s="1871"/>
      <c r="J625" s="1871">
        <f>'Part IV-A-Uses of Funds'!J122</f>
        <v>250000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0</v>
      </c>
      <c r="AF625" s="2049">
        <f>SUM(AE625:AE627)</f>
        <v>0</v>
      </c>
      <c r="AI625" s="1924"/>
      <c r="AZ625" s="1924"/>
      <c r="BA625" s="1857">
        <v>122</v>
      </c>
    </row>
    <row r="626" spans="1:53" s="1856" customFormat="1" ht="12.6" customHeight="1">
      <c r="B626" s="1856" t="s">
        <v>3565</v>
      </c>
      <c r="F626" s="2050">
        <f>'Part IV-A-Uses of Funds'!F123</f>
        <v>250000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950000</v>
      </c>
      <c r="H629" s="1871"/>
      <c r="J629" s="1871">
        <f>'Part IV-A-Uses of Funds'!J126</f>
        <v>950000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4113</v>
      </c>
      <c r="E630" s="2054" t="str">
        <f>IF(E624="9%",AF625,IF(E624="4%",AF628,"Enter app type!"))</f>
        <v>Enter app type!</v>
      </c>
      <c r="F630" s="2007" t="s">
        <v>183</v>
      </c>
      <c r="G630" s="2002">
        <f>SUM(G625:G629)</f>
        <v>1200000</v>
      </c>
      <c r="H630" s="2002"/>
      <c r="J630" s="2002">
        <f>SUM(J625:J629)</f>
        <v>1200000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6701</v>
      </c>
      <c r="BA631" s="1857">
        <v>128</v>
      </c>
    </row>
    <row r="632" spans="1:53" s="1856" customFormat="1" ht="12.6" customHeight="1">
      <c r="B632" s="1856" t="s">
        <v>240</v>
      </c>
      <c r="G632" s="1871">
        <f>'Part IV-A-Uses of Funds'!G129</f>
        <v>32000</v>
      </c>
      <c r="H632" s="1871"/>
      <c r="J632" s="2038"/>
      <c r="K632" s="2038"/>
      <c r="L632" s="2038"/>
      <c r="M632" s="2038"/>
      <c r="N632" s="2038"/>
      <c r="P632" s="2038"/>
      <c r="Q632" s="2038"/>
      <c r="S632" s="1871">
        <f>'Part IV-A-Uses of Funds'!S129</f>
        <v>32000</v>
      </c>
      <c r="T632" s="1871"/>
      <c r="V632" s="2004"/>
      <c r="W632" s="2005"/>
      <c r="X632" s="2005"/>
      <c r="Y632" s="1950" t="s">
        <v>4107</v>
      </c>
      <c r="Z632" s="2055"/>
      <c r="AB632" s="2045"/>
      <c r="AC632" s="1924"/>
      <c r="AD632" s="1924"/>
      <c r="AF632" s="1924"/>
      <c r="AG632" s="1924"/>
      <c r="AH632" s="1924"/>
      <c r="AI632" s="1924"/>
      <c r="AJ632" s="1924"/>
      <c r="AK632" s="1924"/>
      <c r="AZ632" s="1937" t="s">
        <v>6702</v>
      </c>
      <c r="BA632" s="1857">
        <v>129</v>
      </c>
    </row>
    <row r="633" spans="1:53" s="1856" customFormat="1" ht="12.6" customHeight="1">
      <c r="B633" s="1856" t="s">
        <v>1474</v>
      </c>
      <c r="F633" s="2010">
        <f>+'Part VI-Revenues &amp; Expenses'!$Q$225*('DCA Underwriting Assumptions'!$Q$127/12)</f>
        <v>58589.5</v>
      </c>
      <c r="G633" s="1871">
        <f>'Part IV-A-Uses of Funds'!G130</f>
        <v>58590</v>
      </c>
      <c r="H633" s="1871"/>
      <c r="J633" s="2056" t="str">
        <f>IF(E633&gt;G633,"WARNING! Rent-Up Reserves proposed is below minimum - add comment.","")</f>
        <v/>
      </c>
      <c r="K633" s="2056"/>
      <c r="L633" s="1889"/>
      <c r="M633" s="2002"/>
      <c r="N633" s="2002"/>
      <c r="P633" s="2002"/>
      <c r="Q633" s="2002"/>
      <c r="S633" s="1871">
        <f>'Part IV-A-Uses of Funds'!S130</f>
        <v>58590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143859.83442584268</v>
      </c>
      <c r="G634" s="1871">
        <f>'Part IV-A-Uses of Funds'!G131</f>
        <v>143860</v>
      </c>
      <c r="H634" s="1871"/>
      <c r="J634" s="2056" t="str">
        <f>IF(E634&gt;G634,"WARNING! ODR proposed is below minimum - add comment.","")</f>
        <v/>
      </c>
      <c r="K634" s="2038"/>
      <c r="L634" s="2038"/>
      <c r="M634" s="2038"/>
      <c r="N634" s="2038"/>
      <c r="P634" s="2038"/>
      <c r="Q634" s="2038"/>
      <c r="S634" s="1871">
        <f>'Part IV-A-Uses of Funds'!S131</f>
        <v>143860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6703</v>
      </c>
      <c r="BA635" s="1857">
        <v>132</v>
      </c>
    </row>
    <row r="636" spans="1:53" s="1856" customFormat="1" ht="12.6" customHeight="1">
      <c r="B636" s="1856" t="s">
        <v>1199</v>
      </c>
      <c r="E636" s="2009" t="s">
        <v>3259</v>
      </c>
      <c r="F636" s="2010">
        <f>IF('Part VI-Revenues &amp; Expenses'!$P$67=0,0,G636/'Part VI-Revenues &amp; Expenses'!$P$67)</f>
        <v>937.5</v>
      </c>
      <c r="G636" s="1871">
        <f>'Part IV-A-Uses of Funds'!G133</f>
        <v>45000</v>
      </c>
      <c r="H636" s="1871"/>
      <c r="J636" s="1871">
        <f>'Part IV-A-Uses of Funds'!J133</f>
        <v>45000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6704</v>
      </c>
      <c r="BA636" s="1857">
        <v>133</v>
      </c>
    </row>
    <row r="637" spans="1:53" s="1856" customFormat="1" ht="12.6" customHeight="1">
      <c r="A637" s="2006" t="str">
        <f>IF(AND(G637&gt;0,OR(C637="",C637="&lt;Enter detailed description here; use Comments section if needed&gt;")),"X","")</f>
        <v/>
      </c>
      <c r="B637" s="1864" t="s">
        <v>6580</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279450</v>
      </c>
      <c r="H638" s="2002"/>
      <c r="J638" s="2002">
        <f>SUM(J636:J637)</f>
        <v>45000</v>
      </c>
      <c r="K638" s="2002"/>
      <c r="L638" s="1889"/>
      <c r="M638" s="2002">
        <f>SUM(M636:M637)</f>
        <v>0</v>
      </c>
      <c r="N638" s="2002"/>
      <c r="P638" s="2002">
        <f>SUM(P636:P637)</f>
        <v>0</v>
      </c>
      <c r="Q638" s="2002"/>
      <c r="S638" s="2002">
        <f>SUM(S632:S637)</f>
        <v>234450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7082</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6580</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7083</v>
      </c>
      <c r="E649" s="2009"/>
      <c r="F649" s="2062"/>
      <c r="G649" s="2002">
        <f>G521+G527+G531+G539+G544+G549+G558+G576+G589+G595+G606+G617+G623+G630+G638+G647</f>
        <v>11656720</v>
      </c>
      <c r="H649" s="2002"/>
      <c r="J649" s="2002">
        <f>J521+J527+J531+J539+J544+J549+J558+J576+J589+J595+J606+J617+J623+J630+J638+J647</f>
        <v>10500287</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1156433</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7012</v>
      </c>
      <c r="C651" s="2021"/>
      <c r="D651" s="2063">
        <f>IF('Part VI-Revenues &amp; Expenses'!$P$67=0,0,G649/'Part VI-Revenues &amp; Expenses'!$P$67)</f>
        <v>242848.33333333334</v>
      </c>
      <c r="E651" s="2063"/>
      <c r="F651" s="2057" t="s">
        <v>2593</v>
      </c>
      <c r="G651" s="2063">
        <f>IF('Part I-Project Information'!$P$70=0,0,G649/'Part I-Project Information'!$P$70)</f>
        <v>215.72137093789325</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10500287</v>
      </c>
      <c r="K665" s="1982"/>
      <c r="M665" s="1982">
        <f>M649</f>
        <v>0</v>
      </c>
      <c r="N665" s="1982"/>
      <c r="P665" s="1982">
        <f>P649</f>
        <v>0</v>
      </c>
      <c r="Q665" s="1982"/>
      <c r="R665" s="2067" t="s">
        <v>3932</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10500287</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10500287</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10500287</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945025.83</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945025</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4128</v>
      </c>
      <c r="H678" s="2073"/>
      <c r="I678" s="2073"/>
      <c r="M678" s="2074"/>
      <c r="O678" s="1868"/>
      <c r="P678" s="1868"/>
      <c r="Q678" s="1868"/>
      <c r="R678" s="1868"/>
      <c r="S678" s="1868"/>
      <c r="T678" s="1868"/>
      <c r="U678" s="1868"/>
      <c r="V678" s="1868"/>
    </row>
    <row r="679" spans="1:52" s="1937" customFormat="1" ht="15" customHeight="1">
      <c r="B679" s="1937" t="s">
        <v>7084</v>
      </c>
      <c r="J679" s="2075">
        <f>G649</f>
        <v>11656720</v>
      </c>
      <c r="K679" s="2075"/>
      <c r="L679" s="2075"/>
      <c r="V679" s="2076"/>
      <c r="W679" s="2077"/>
    </row>
    <row r="680" spans="1:52" s="1937" customFormat="1" ht="13.5" customHeight="1">
      <c r="B680" s="1937" t="s">
        <v>4132</v>
      </c>
      <c r="J680" s="2075">
        <f>'Part IV-A-Uses of Funds'!$G$92+'Part IV-A-Uses of Funds'!$G$114+SUM('Part IV-A-Uses of Funds'!$G$130:$H$132)</f>
        <v>447167</v>
      </c>
      <c r="K680" s="2075"/>
      <c r="L680" s="2075"/>
      <c r="V680" s="2076"/>
      <c r="W680" s="2077"/>
    </row>
    <row r="681" spans="1:52" s="1937" customFormat="1" ht="13.5" customHeight="1">
      <c r="B681" s="1935" t="s">
        <v>4131</v>
      </c>
      <c r="J681" s="2075">
        <f>J679-J680</f>
        <v>11209553</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11215938</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4133</v>
      </c>
      <c r="J685" s="1894">
        <f>'Part IV-A-Uses of Funds'!J182</f>
        <v>11656720</v>
      </c>
      <c r="K685" s="1894"/>
      <c r="L685" s="1894"/>
      <c r="M685" s="2067" t="s">
        <v>4144</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480110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11176610</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1117661</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7013</v>
      </c>
      <c r="J691" s="2082">
        <f>N691+Q691</f>
        <v>1.24</v>
      </c>
      <c r="K691" s="2082"/>
      <c r="L691" s="2082"/>
      <c r="M691" s="1857" t="s">
        <v>1241</v>
      </c>
      <c r="N691" s="2083">
        <f>'Part IV-A-Uses of Funds'!N188</f>
        <v>0.85</v>
      </c>
      <c r="O691" s="2083"/>
      <c r="P691" s="1857" t="s">
        <v>583</v>
      </c>
      <c r="Q691" s="2083">
        <f>'Part IV-A-Uses of Funds'!Q188</f>
        <v>0.39</v>
      </c>
      <c r="R691" s="2083"/>
      <c r="V691" s="2004"/>
      <c r="W691" s="2005"/>
      <c r="X691" s="2005"/>
      <c r="AZ691" s="1937"/>
    </row>
    <row r="692" spans="1:52" s="1856" customFormat="1" ht="14.1" customHeight="1">
      <c r="B692" s="1856" t="s">
        <v>1374</v>
      </c>
      <c r="J692" s="1982">
        <f>ROUNDDOWN(IF(J691=0,"",J689/J691),0)</f>
        <v>901339</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4129</v>
      </c>
      <c r="H694" s="2059"/>
      <c r="I694" s="2059"/>
      <c r="M694" s="2072"/>
      <c r="Q694" s="1864" t="s">
        <v>6539</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7085</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7014</v>
      </c>
      <c r="J698" s="1894">
        <f>'Part IV-A-Uses of Funds'!J195</f>
        <v>900000</v>
      </c>
      <c r="K698" s="1894"/>
      <c r="L698" s="1894"/>
      <c r="M698" s="1907" t="str">
        <f>IF(J696=0,"",IF(J698&gt;J696,"Request can't exceed Maximum - REVISE (Try Round Down)!",""))</f>
        <v/>
      </c>
      <c r="N698" s="1907"/>
      <c r="O698" s="1907"/>
      <c r="P698" s="1907"/>
      <c r="Q698" s="1967" t="s">
        <v>4117</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7086</v>
      </c>
      <c r="D700" s="1865"/>
      <c r="E700" s="1865"/>
      <c r="F700" s="1858"/>
      <c r="J700" s="1982">
        <f>IF(J698="",0,+MIN(J696,J698))</f>
        <v>900000</v>
      </c>
      <c r="K700" s="1982"/>
      <c r="L700" s="1982"/>
      <c r="M700" s="1907"/>
      <c r="N700" s="1907"/>
      <c r="O700" s="1907"/>
      <c r="P700" s="1907"/>
      <c r="Q700" s="1864" t="s">
        <v>6540</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Please see Tab 1 of the application for a breakout of the local government fees. The construction hard costs were carefully evaluated and estimated by the general contractor and civil engineer.</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2021-014 - Dunbar Court  -  Byron  -  Peach,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7015</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7016</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7017</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7018</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2021-014 Dunbar Court,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3827</v>
      </c>
      <c r="I794" s="2105" t="str">
        <f>VLOOKUP('Part I-Project Information'!$J$40,'DCA Underwriting Assumptions'!$G$174:$H$333,2)</f>
        <v>North</v>
      </c>
    </row>
    <row r="795" spans="1:25" s="1852" customFormat="1" ht="6" customHeight="1"/>
    <row r="796" spans="1:25" s="1852" customFormat="1" ht="12.75" customHeight="1">
      <c r="A796" s="2106" t="s">
        <v>7087</v>
      </c>
      <c r="O796" s="1856" t="s">
        <v>7088</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Georgia DCA - North Georgia</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9</v>
      </c>
      <c r="K803" s="2110">
        <f>'Part V-Utility Allowances'!K12</f>
        <v>11</v>
      </c>
      <c r="L803" s="2110">
        <f>'Part V-Utility Allowances'!L12</f>
        <v>16</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8</v>
      </c>
      <c r="K804" s="2110">
        <f>'Part V-Utility Allowances'!K13</f>
        <v>10</v>
      </c>
      <c r="L804" s="2110">
        <f>'Part V-Utility Allowances'!L13</f>
        <v>12</v>
      </c>
      <c r="M804" s="2110">
        <f>'Part V-Utility Allowances'!M13</f>
        <v>0</v>
      </c>
      <c r="O804" s="1818" t="s">
        <v>7019</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14</v>
      </c>
      <c r="K805" s="2110">
        <f>'Part V-Utility Allowances'!K14</f>
        <v>19</v>
      </c>
      <c r="L805" s="2110">
        <f>'Part V-Utility Allowances'!L14</f>
        <v>24</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7</v>
      </c>
      <c r="K806" s="2110">
        <f>'Part V-Utility Allowances'!K15</f>
        <v>9</v>
      </c>
      <c r="L806" s="2110">
        <f>'Part V-Utility Allowances'!L15</f>
        <v>12</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0</v>
      </c>
      <c r="J809" s="2110">
        <f>'Part V-Utility Allowances'!J18</f>
        <v>22</v>
      </c>
      <c r="K809" s="2110">
        <f>'Part V-Utility Allowances'!K18</f>
        <v>28</v>
      </c>
      <c r="L809" s="2110">
        <f>'Part V-Utility Allowances'!L18</f>
        <v>34</v>
      </c>
      <c r="M809" s="2110">
        <f>'Part V-Utility Allowances'!M18</f>
        <v>0</v>
      </c>
      <c r="O809" s="1818"/>
      <c r="P809" s="1818"/>
      <c r="Q809" s="1818"/>
    </row>
    <row r="810" spans="1:25" s="1852" customFormat="1" ht="12" customHeight="1">
      <c r="B810" s="1818" t="s">
        <v>1321</v>
      </c>
      <c r="C810" s="1818"/>
      <c r="D810" s="1818" t="s">
        <v>6844</v>
      </c>
      <c r="E810" s="2110" t="str">
        <f>'Part V-Utility Allowances'!E19</f>
        <v>Yes</v>
      </c>
      <c r="F810" s="2109" t="str">
        <f>'Part V-Utility Allowances'!F19</f>
        <v>X</v>
      </c>
      <c r="G810" s="2109">
        <f>'Part V-Utility Allowances'!G19</f>
        <v>0</v>
      </c>
      <c r="I810" s="2110">
        <f>'Part V-Utility Allowances'!I19</f>
        <v>0</v>
      </c>
      <c r="J810" s="2110">
        <f>'Part V-Utility Allowances'!J19</f>
        <v>45</v>
      </c>
      <c r="K810" s="2110">
        <f>'Part V-Utility Allowances'!K19</f>
        <v>52</v>
      </c>
      <c r="L810" s="2110">
        <f>'Part V-Utility Allowances'!L19</f>
        <v>65</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105</v>
      </c>
      <c r="K813" s="2108">
        <f>IF(SUM(K803:K812)=0,0,IF(OR($D803="&lt;&lt;Select Fuel &gt;&gt;",$D804="&lt;&lt;Select Fuel &gt;&gt;",$D805="&lt;&lt;Select Fuel &gt;&gt;"),"Select Fuel",IF($E810="&lt;Select&gt;","Submeter?",SUM(K803:K812))))</f>
        <v>129</v>
      </c>
      <c r="L813" s="2108">
        <f>IF(SUM(L803:L812)=0,0,IF(OR($D803="&lt;&lt;Select Fuel &gt;&gt;",$D804="&lt;&lt;Select Fuel &gt;&gt;",$D805="&lt;&lt;Select Fuel &gt;&gt;"),"Select Fuel",IF($E810="&lt;Select&gt;","Submeter?",SUM(L803:L812))))</f>
        <v>163</v>
      </c>
      <c r="M813" s="2108">
        <f>IF(SUM(M803:M812)=0,0,IF(OR($D803="&lt;&lt;Select Fuel &gt;&gt;",$D804="&lt;&lt;Select Fuel &gt;&gt;",$D805="&lt;&lt;Select Fuel &gt;&gt;"),"Select Fuel",IF($E810="&lt;Select&gt;","Submeter?",SUM(M803:M812))))</f>
        <v>0</v>
      </c>
    </row>
    <row r="814" spans="1:25" s="1852" customFormat="1" ht="7.5" customHeight="1">
      <c r="O814" s="1856" t="s">
        <v>7088</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7019</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6844</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6845</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Peach County is identified as being located in the nothern region on the DCA Utility Allowance Map Effective January 2021. Applicant has used the Low-Rise Apartment utility allowances for the applications. Pleas see tab 01 for utility allowance documentation.</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2021-014 Dunbar Court, ,  County</v>
      </c>
      <c r="T842" s="1818" t="str">
        <f>A842</f>
        <v>PART SIX - PROJECTED REVENUES &amp; EXPENSES  -  2021-014 Dunbar Court,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6308</v>
      </c>
      <c r="E844" s="1905"/>
      <c r="F844" s="1905"/>
      <c r="G844" s="1905"/>
      <c r="H844" s="1905"/>
      <c r="I844" s="1905"/>
      <c r="J844" s="1905"/>
      <c r="O844" s="2115" t="s">
        <v>547</v>
      </c>
      <c r="P844" s="2116" t="str">
        <f>'Part I-Project Information'!$O$41</f>
        <v>Peach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7089</v>
      </c>
      <c r="R845" s="2488"/>
      <c r="X845" s="2114" t="s">
        <v>3836</v>
      </c>
      <c r="Y845" s="2114" t="s">
        <v>3837</v>
      </c>
      <c r="Z845" s="2114" t="s">
        <v>3838</v>
      </c>
      <c r="AA845" s="2114" t="s">
        <v>3839</v>
      </c>
      <c r="AB845" s="2114" t="s">
        <v>3840</v>
      </c>
      <c r="AC845" s="2114" t="s">
        <v>3841</v>
      </c>
      <c r="AD845" s="2114" t="s">
        <v>3842</v>
      </c>
      <c r="AE845" s="2114" t="s">
        <v>3843</v>
      </c>
      <c r="AF845" s="2114" t="s">
        <v>3844</v>
      </c>
      <c r="AG845" s="2114" t="s">
        <v>3845</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3847</v>
      </c>
      <c r="AS845" s="2114" t="s">
        <v>3848</v>
      </c>
      <c r="AT845" s="2114" t="s">
        <v>3849</v>
      </c>
      <c r="AU845" s="2114" t="s">
        <v>3850</v>
      </c>
      <c r="AV845" s="2114" t="s">
        <v>3846</v>
      </c>
      <c r="AW845" s="2114" t="s">
        <v>887</v>
      </c>
      <c r="AX845" s="2114" t="s">
        <v>2210</v>
      </c>
      <c r="AY845" s="2114" t="s">
        <v>2211</v>
      </c>
      <c r="AZ845" s="2114" t="s">
        <v>2212</v>
      </c>
      <c r="BA845" s="2114" t="s">
        <v>2213</v>
      </c>
      <c r="BB845" s="2114" t="s">
        <v>3851</v>
      </c>
      <c r="BC845" s="2114" t="s">
        <v>3852</v>
      </c>
      <c r="BD845" s="2114" t="s">
        <v>3853</v>
      </c>
      <c r="BE845" s="2114" t="s">
        <v>3854</v>
      </c>
      <c r="BF845" s="2114" t="s">
        <v>3855</v>
      </c>
      <c r="BG845" s="2114" t="s">
        <v>122</v>
      </c>
      <c r="BH845" s="2114" t="s">
        <v>2214</v>
      </c>
      <c r="BI845" s="2114" t="s">
        <v>2215</v>
      </c>
      <c r="BJ845" s="2114" t="s">
        <v>2216</v>
      </c>
      <c r="BK845" s="2114" t="s">
        <v>1106</v>
      </c>
      <c r="BL845" s="2114" t="s">
        <v>3856</v>
      </c>
      <c r="BM845" s="2114" t="s">
        <v>3857</v>
      </c>
      <c r="BN845" s="2114" t="s">
        <v>3858</v>
      </c>
      <c r="BO845" s="2114" t="s">
        <v>3859</v>
      </c>
      <c r="BP845" s="2114" t="s">
        <v>3860</v>
      </c>
      <c r="BQ845" s="2114" t="s">
        <v>529</v>
      </c>
      <c r="BR845" s="2114" t="s">
        <v>530</v>
      </c>
      <c r="BS845" s="2114" t="s">
        <v>548</v>
      </c>
      <c r="BT845" s="2114" t="s">
        <v>549</v>
      </c>
      <c r="BU845" s="2114" t="s">
        <v>550</v>
      </c>
      <c r="BV845" s="2114" t="s">
        <v>3861</v>
      </c>
      <c r="BW845" s="2114" t="s">
        <v>3862</v>
      </c>
      <c r="BX845" s="2114" t="s">
        <v>3863</v>
      </c>
      <c r="BY845" s="2114" t="s">
        <v>3864</v>
      </c>
      <c r="BZ845" s="2114" t="s">
        <v>3865</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3871</v>
      </c>
      <c r="CL845" s="2114" t="s">
        <v>3872</v>
      </c>
      <c r="CM845" s="2114" t="s">
        <v>3873</v>
      </c>
      <c r="CN845" s="2114" t="s">
        <v>3874</v>
      </c>
      <c r="CO845" s="2114" t="s">
        <v>3875</v>
      </c>
      <c r="CP845" s="2114" t="s">
        <v>3866</v>
      </c>
      <c r="CQ845" s="2114" t="s">
        <v>3867</v>
      </c>
      <c r="CR845" s="2114" t="s">
        <v>3868</v>
      </c>
      <c r="CS845" s="2114" t="s">
        <v>3869</v>
      </c>
      <c r="CT845" s="2114" t="s">
        <v>3870</v>
      </c>
      <c r="CU845" s="2114" t="s">
        <v>3876</v>
      </c>
      <c r="CV845" s="2114" t="s">
        <v>3877</v>
      </c>
      <c r="CW845" s="2114" t="s">
        <v>3878</v>
      </c>
      <c r="CX845" s="2114" t="s">
        <v>3879</v>
      </c>
      <c r="CY845" s="2114" t="s">
        <v>3880</v>
      </c>
      <c r="CZ845" s="2114" t="s">
        <v>474</v>
      </c>
      <c r="DA845" s="2114" t="s">
        <v>475</v>
      </c>
      <c r="DB845" s="2114" t="s">
        <v>476</v>
      </c>
      <c r="DC845" s="2114" t="s">
        <v>477</v>
      </c>
      <c r="DD845" s="2114" t="s">
        <v>478</v>
      </c>
      <c r="DE845" s="2114" t="s">
        <v>3881</v>
      </c>
      <c r="DF845" s="2114" t="s">
        <v>3882</v>
      </c>
      <c r="DG845" s="2114" t="s">
        <v>3883</v>
      </c>
      <c r="DH845" s="2114" t="s">
        <v>3884</v>
      </c>
      <c r="DI845" s="2114" t="s">
        <v>3885</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3886</v>
      </c>
      <c r="DU845" s="2114" t="s">
        <v>3887</v>
      </c>
      <c r="DV845" s="2114" t="s">
        <v>3888</v>
      </c>
      <c r="DW845" s="2114" t="s">
        <v>3889</v>
      </c>
      <c r="DX845" s="2114" t="s">
        <v>3890</v>
      </c>
      <c r="DY845" s="2114" t="s">
        <v>3891</v>
      </c>
      <c r="DZ845" s="2114" t="s">
        <v>3892</v>
      </c>
      <c r="EA845" s="2114" t="s">
        <v>3893</v>
      </c>
      <c r="EB845" s="2114" t="s">
        <v>3894</v>
      </c>
      <c r="EC845" s="2114" t="s">
        <v>3895</v>
      </c>
      <c r="ED845" s="2114" t="s">
        <v>2319</v>
      </c>
      <c r="EE845" s="2114" t="s">
        <v>2320</v>
      </c>
      <c r="EF845" s="2114" t="s">
        <v>2321</v>
      </c>
      <c r="EG845" s="2114" t="s">
        <v>2322</v>
      </c>
      <c r="EH845" s="2114" t="s">
        <v>2323</v>
      </c>
      <c r="EI845" s="2114" t="s">
        <v>3896</v>
      </c>
      <c r="EJ845" s="2114" t="s">
        <v>3897</v>
      </c>
      <c r="EK845" s="2114" t="s">
        <v>3898</v>
      </c>
      <c r="EL845" s="2114" t="s">
        <v>3899</v>
      </c>
      <c r="EM845" s="2114" t="s">
        <v>3900</v>
      </c>
      <c r="EN845" s="2114" t="s">
        <v>3901</v>
      </c>
      <c r="EO845" s="2114" t="s">
        <v>3902</v>
      </c>
      <c r="EP845" s="2114" t="s">
        <v>3903</v>
      </c>
      <c r="EQ845" s="2114" t="s">
        <v>3904</v>
      </c>
      <c r="ER845" s="2114" t="s">
        <v>3905</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3906</v>
      </c>
      <c r="FD845" s="2114" t="s">
        <v>3907</v>
      </c>
      <c r="FE845" s="2114" t="s">
        <v>3908</v>
      </c>
      <c r="FF845" s="2114" t="s">
        <v>3909</v>
      </c>
      <c r="FG845" s="2114" t="s">
        <v>3910</v>
      </c>
      <c r="FH845" s="2114" t="s">
        <v>124</v>
      </c>
      <c r="FI845" s="2114" t="s">
        <v>877</v>
      </c>
      <c r="FJ845" s="2114" t="s">
        <v>878</v>
      </c>
      <c r="FK845" s="2114" t="s">
        <v>879</v>
      </c>
      <c r="FL845" s="2114" t="s">
        <v>880</v>
      </c>
      <c r="FM845" s="2114" t="s">
        <v>3911</v>
      </c>
      <c r="FN845" s="2114" t="s">
        <v>3912</v>
      </c>
      <c r="FO845" s="2114" t="s">
        <v>3913</v>
      </c>
      <c r="FP845" s="2114" t="s">
        <v>3914</v>
      </c>
      <c r="FQ845" s="2114" t="s">
        <v>3915</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7090</v>
      </c>
      <c r="D846" s="1905"/>
      <c r="E846" s="1905"/>
      <c r="F846" s="1905"/>
      <c r="G846" s="2110" t="str">
        <f>'Part VI-Revenues &amp; Expenses'!G6</f>
        <v>&lt;Select&gt;</v>
      </c>
      <c r="H846" s="2119" t="s">
        <v>6311</v>
      </c>
      <c r="I846" s="2119"/>
      <c r="J846" s="2119"/>
      <c r="K846" s="2117" t="s">
        <v>3257</v>
      </c>
      <c r="L846" s="2120" t="str">
        <f>'Part I-Project Information'!$B$7</f>
        <v>2021 Core Application</v>
      </c>
      <c r="M846" s="2120"/>
      <c r="N846" s="2120"/>
      <c r="O846" s="2121" t="s">
        <v>7020</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6585</v>
      </c>
      <c r="MQ846" s="2114" t="s">
        <v>6586</v>
      </c>
      <c r="MR846" s="2114" t="s">
        <v>6587</v>
      </c>
      <c r="MS846" s="2114" t="s">
        <v>6588</v>
      </c>
      <c r="MT846" s="2114" t="s">
        <v>6589</v>
      </c>
      <c r="NP846" s="2113"/>
    </row>
    <row r="847" spans="1:380" s="1818" customFormat="1" ht="12.6" customHeight="1">
      <c r="A847" s="2118"/>
      <c r="B847" s="2123" t="s">
        <v>6310</v>
      </c>
      <c r="G847" s="2110" t="str">
        <f>'Part VI-Revenues &amp; Expenses'!G7</f>
        <v>No</v>
      </c>
      <c r="I847" s="1719" t="s">
        <v>4278</v>
      </c>
      <c r="J847" s="2117" t="s">
        <v>765</v>
      </c>
      <c r="K847" s="2117" t="s">
        <v>3307</v>
      </c>
      <c r="L847" s="2120"/>
      <c r="M847" s="2120"/>
      <c r="N847" s="2120"/>
      <c r="O847" s="2124" t="s">
        <v>6286</v>
      </c>
      <c r="P847" s="2125">
        <f>'Part VI-Revenues &amp; Expenses'!P7</f>
        <v>44197</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3918</v>
      </c>
      <c r="I848" s="1719"/>
      <c r="J848" s="2117" t="s">
        <v>766</v>
      </c>
      <c r="K848" s="2117" t="s">
        <v>3308</v>
      </c>
      <c r="N848" s="2126" t="s">
        <v>6806</v>
      </c>
      <c r="O848" s="1942" t="str">
        <f>'Part VI-Revenues &amp; Expenses'!O8</f>
        <v>Novogradac &amp; Company, LLP</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3919</v>
      </c>
      <c r="C849" s="2117" t="s">
        <v>164</v>
      </c>
      <c r="D849" s="2117" t="s">
        <v>519</v>
      </c>
      <c r="E849" s="2117" t="s">
        <v>1417</v>
      </c>
      <c r="F849" s="2117" t="s">
        <v>1417</v>
      </c>
      <c r="G849" s="1719" t="s">
        <v>6306</v>
      </c>
      <c r="H849" s="2488" t="s">
        <v>3442</v>
      </c>
      <c r="I849" s="1719"/>
      <c r="J849" s="2127" t="s">
        <v>6297</v>
      </c>
      <c r="K849" s="2117" t="s">
        <v>7091</v>
      </c>
      <c r="L849" s="1719" t="s">
        <v>138</v>
      </c>
      <c r="M849" s="1719"/>
      <c r="N849" s="2117" t="s">
        <v>2262</v>
      </c>
      <c r="O849" s="2117" t="s">
        <v>6809</v>
      </c>
      <c r="P849" s="2114" t="s">
        <v>7092</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6590</v>
      </c>
      <c r="IZ849" s="2114" t="s">
        <v>6590</v>
      </c>
      <c r="JA849" s="2114" t="s">
        <v>6590</v>
      </c>
      <c r="JB849" s="2114" t="s">
        <v>6590</v>
      </c>
      <c r="JC849" s="2114" t="s">
        <v>6590</v>
      </c>
      <c r="JD849" s="2114" t="s">
        <v>6591</v>
      </c>
      <c r="JE849" s="2114" t="s">
        <v>6591</v>
      </c>
      <c r="JF849" s="2114" t="s">
        <v>6591</v>
      </c>
      <c r="JG849" s="2114" t="s">
        <v>6591</v>
      </c>
      <c r="JH849" s="2114" t="s">
        <v>6591</v>
      </c>
      <c r="JI849" s="2114" t="s">
        <v>6593</v>
      </c>
      <c r="JJ849" s="2114" t="s">
        <v>6593</v>
      </c>
      <c r="JK849" s="2114" t="s">
        <v>6593</v>
      </c>
      <c r="JL849" s="2114" t="s">
        <v>6593</v>
      </c>
      <c r="JM849" s="2114" t="s">
        <v>6593</v>
      </c>
      <c r="JN849" s="2114" t="s">
        <v>6594</v>
      </c>
      <c r="JO849" s="2114" t="s">
        <v>6594</v>
      </c>
      <c r="JP849" s="2114" t="s">
        <v>6594</v>
      </c>
      <c r="JQ849" s="2114" t="s">
        <v>6594</v>
      </c>
      <c r="JR849" s="2114" t="s">
        <v>6594</v>
      </c>
      <c r="JS849" s="2114" t="s">
        <v>6595</v>
      </c>
      <c r="JT849" s="2114" t="s">
        <v>6595</v>
      </c>
      <c r="JU849" s="2114" t="s">
        <v>6595</v>
      </c>
      <c r="JV849" s="2114" t="s">
        <v>6595</v>
      </c>
      <c r="JW849" s="2114" t="s">
        <v>6595</v>
      </c>
      <c r="JX849" s="2114" t="s">
        <v>6810</v>
      </c>
      <c r="JY849" s="2114" t="s">
        <v>6810</v>
      </c>
      <c r="JZ849" s="2114" t="s">
        <v>6810</v>
      </c>
      <c r="KA849" s="2114" t="s">
        <v>6810</v>
      </c>
      <c r="KB849" s="2114" t="s">
        <v>6810</v>
      </c>
      <c r="KC849" s="2114" t="s">
        <v>7021</v>
      </c>
      <c r="KD849" s="2114" t="s">
        <v>7021</v>
      </c>
      <c r="KE849" s="2114" t="s">
        <v>7021</v>
      </c>
      <c r="KF849" s="2114" t="s">
        <v>7021</v>
      </c>
      <c r="KG849" s="2114" t="s">
        <v>7021</v>
      </c>
      <c r="KH849" s="2114" t="s">
        <v>7022</v>
      </c>
      <c r="KI849" s="2114" t="s">
        <v>7022</v>
      </c>
      <c r="KJ849" s="2114" t="s">
        <v>7022</v>
      </c>
      <c r="KK849" s="2114" t="s">
        <v>7022</v>
      </c>
      <c r="KL849" s="2114" t="s">
        <v>7022</v>
      </c>
      <c r="KM849" s="2114" t="s">
        <v>6597</v>
      </c>
      <c r="KN849" s="2114" t="s">
        <v>6597</v>
      </c>
      <c r="KO849" s="2114" t="s">
        <v>6597</v>
      </c>
      <c r="KP849" s="2114" t="s">
        <v>6597</v>
      </c>
      <c r="KQ849" s="2114" t="s">
        <v>6597</v>
      </c>
      <c r="KR849" s="2114" t="s">
        <v>6811</v>
      </c>
      <c r="KS849" s="2114" t="s">
        <v>6811</v>
      </c>
      <c r="KT849" s="2114" t="s">
        <v>6811</v>
      </c>
      <c r="KU849" s="2114" t="s">
        <v>6811</v>
      </c>
      <c r="KV849" s="2114" t="s">
        <v>6811</v>
      </c>
      <c r="KW849" s="2114" t="s">
        <v>7023</v>
      </c>
      <c r="KX849" s="2114" t="s">
        <v>7023</v>
      </c>
      <c r="KY849" s="2114" t="s">
        <v>7023</v>
      </c>
      <c r="KZ849" s="2114" t="s">
        <v>7023</v>
      </c>
      <c r="LA849" s="2114" t="s">
        <v>7023</v>
      </c>
      <c r="LB849" s="2114" t="s">
        <v>7024</v>
      </c>
      <c r="LC849" s="2114" t="s">
        <v>7024</v>
      </c>
      <c r="LD849" s="2114" t="s">
        <v>7024</v>
      </c>
      <c r="LE849" s="2114" t="s">
        <v>7024</v>
      </c>
      <c r="LF849" s="2114" t="s">
        <v>7024</v>
      </c>
      <c r="MK849" s="1719"/>
      <c r="ML849" s="1719"/>
      <c r="MM849" s="1719"/>
      <c r="MN849" s="1719"/>
      <c r="MO849" s="1719"/>
      <c r="NP849" s="1926"/>
    </row>
    <row r="850" spans="1:380" s="2114" customFormat="1" ht="11.25" customHeight="1">
      <c r="A850" s="2118"/>
      <c r="B850" s="2128" t="s">
        <v>4126</v>
      </c>
      <c r="C850" s="2117" t="s">
        <v>163</v>
      </c>
      <c r="D850" s="2117" t="s">
        <v>165</v>
      </c>
      <c r="E850" s="2117" t="s">
        <v>1418</v>
      </c>
      <c r="F850" s="2117" t="s">
        <v>1231</v>
      </c>
      <c r="G850" s="1719"/>
      <c r="H850" s="2117" t="s">
        <v>6307</v>
      </c>
      <c r="I850" s="1719"/>
      <c r="J850" s="2127"/>
      <c r="K850" s="2129" t="s">
        <v>338</v>
      </c>
      <c r="L850" s="2117" t="s">
        <v>1469</v>
      </c>
      <c r="M850" s="2117" t="s">
        <v>513</v>
      </c>
      <c r="N850" s="2117" t="s">
        <v>1417</v>
      </c>
      <c r="O850" s="2117" t="s">
        <v>6826</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6717</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6718</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6719</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6720</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6721</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6722</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6723</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3</v>
      </c>
      <c r="F858" s="2133">
        <f>'Part VI-Revenues &amp; Expenses'!F18</f>
        <v>811</v>
      </c>
      <c r="G858" s="2133">
        <f>'Part VI-Revenues &amp; Expenses'!G18</f>
        <v>583</v>
      </c>
      <c r="H858" s="2133">
        <f>'Part VI-Revenues &amp; Expenses'!H18</f>
        <v>570</v>
      </c>
      <c r="I858" s="2133">
        <f>'Part VI-Revenues &amp; Expenses'!I18</f>
        <v>0</v>
      </c>
      <c r="J858" s="2133">
        <f>'Part VI-Revenues &amp; Expenses'!J18</f>
        <v>105</v>
      </c>
      <c r="K858" s="2134">
        <f>'Part VI-Revenues &amp; Expenses'!K18</f>
        <v>0</v>
      </c>
      <c r="L858" s="2135">
        <f t="shared" si="0"/>
        <v>465</v>
      </c>
      <c r="M858" s="2135">
        <f t="shared" si="1"/>
        <v>1395</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3</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2433</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3</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3</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3</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3</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6724</v>
      </c>
    </row>
    <row r="859" spans="1:380" s="1852" customFormat="1" ht="13.9" customHeight="1">
      <c r="A859" s="2108" t="str">
        <f t="shared" si="327"/>
        <v/>
      </c>
      <c r="B859" s="2130">
        <f>'Part VI-Revenues &amp; Expenses'!B19</f>
        <v>60</v>
      </c>
      <c r="C859" s="2131">
        <f>'Part VI-Revenues &amp; Expenses'!C19</f>
        <v>1</v>
      </c>
      <c r="D859" s="2132">
        <f>'Part VI-Revenues &amp; Expenses'!D19</f>
        <v>1</v>
      </c>
      <c r="E859" s="2133">
        <f>'Part VI-Revenues &amp; Expenses'!E19</f>
        <v>4</v>
      </c>
      <c r="F859" s="2133">
        <f>'Part VI-Revenues &amp; Expenses'!F19</f>
        <v>811</v>
      </c>
      <c r="G859" s="2133">
        <f>'Part VI-Revenues &amp; Expenses'!G19</f>
        <v>700</v>
      </c>
      <c r="H859" s="2133">
        <f>'Part VI-Revenues &amp; Expenses'!H19</f>
        <v>620</v>
      </c>
      <c r="I859" s="2133">
        <f>'Part VI-Revenues &amp; Expenses'!I19</f>
        <v>0</v>
      </c>
      <c r="J859" s="2133">
        <f>'Part VI-Revenues &amp; Expenses'!J19</f>
        <v>105</v>
      </c>
      <c r="K859" s="2134">
        <f>'Part VI-Revenues &amp; Expenses'!K19</f>
        <v>0</v>
      </c>
      <c r="L859" s="2135">
        <f t="shared" si="0"/>
        <v>515</v>
      </c>
      <c r="M859" s="2135">
        <f t="shared" si="1"/>
        <v>2060</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f t="shared" si="13"/>
        <v>4</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f t="shared" si="128"/>
        <v>3244</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f t="shared" si="168"/>
        <v>4</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4</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f t="shared" si="258"/>
        <v>4</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4</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6725</v>
      </c>
    </row>
    <row r="860" spans="1:380" s="1852" customFormat="1" ht="13.9" customHeight="1">
      <c r="A860" s="2108" t="str">
        <f t="shared" si="327"/>
        <v/>
      </c>
      <c r="B860" s="2130">
        <f>'Part VI-Revenues &amp; Expenses'!B20</f>
        <v>70</v>
      </c>
      <c r="C860" s="2131">
        <f>'Part VI-Revenues &amp; Expenses'!C20</f>
        <v>1</v>
      </c>
      <c r="D860" s="2132">
        <f>'Part VI-Revenues &amp; Expenses'!D20</f>
        <v>1</v>
      </c>
      <c r="E860" s="2133">
        <f>'Part VI-Revenues &amp; Expenses'!E20</f>
        <v>1</v>
      </c>
      <c r="F860" s="2133">
        <f>'Part VI-Revenues &amp; Expenses'!F20</f>
        <v>811</v>
      </c>
      <c r="G860" s="2133">
        <f>'Part VI-Revenues &amp; Expenses'!G20</f>
        <v>817</v>
      </c>
      <c r="H860" s="2133">
        <f>'Part VI-Revenues &amp; Expenses'!H20</f>
        <v>655</v>
      </c>
      <c r="I860" s="2133">
        <f>'Part VI-Revenues &amp; Expenses'!I20</f>
        <v>0</v>
      </c>
      <c r="J860" s="2133">
        <f>'Part VI-Revenues &amp; Expenses'!J20</f>
        <v>105</v>
      </c>
      <c r="K860" s="2134">
        <f>'Part VI-Revenues &amp; Expenses'!K20</f>
        <v>0</v>
      </c>
      <c r="L860" s="2135">
        <f t="shared" si="0"/>
        <v>550</v>
      </c>
      <c r="M860" s="2135">
        <f t="shared" si="1"/>
        <v>550</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f t="shared" si="8"/>
        <v>1</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f t="shared" si="68"/>
        <v>1</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f t="shared" si="123"/>
        <v>811</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1</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f t="shared" si="213"/>
        <v>1</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f t="shared" si="258"/>
        <v>1</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1</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6726</v>
      </c>
    </row>
    <row r="861" spans="1:380" s="1852" customFormat="1" ht="13.9" customHeight="1">
      <c r="A861" s="2108" t="str">
        <f t="shared" si="327"/>
        <v/>
      </c>
      <c r="B861" s="2130">
        <f>'Part VI-Revenues &amp; Expenses'!B21</f>
        <v>50</v>
      </c>
      <c r="C861" s="2131">
        <f>'Part VI-Revenues &amp; Expenses'!C21</f>
        <v>2</v>
      </c>
      <c r="D861" s="2132">
        <f>'Part VI-Revenues &amp; Expenses'!D21</f>
        <v>2</v>
      </c>
      <c r="E861" s="2133">
        <f>'Part VI-Revenues &amp; Expenses'!E21</f>
        <v>8</v>
      </c>
      <c r="F861" s="2133">
        <f>'Part VI-Revenues &amp; Expenses'!F21</f>
        <v>1051</v>
      </c>
      <c r="G861" s="2133">
        <f>'Part VI-Revenues &amp; Expenses'!G21</f>
        <v>701</v>
      </c>
      <c r="H861" s="2133">
        <f>'Part VI-Revenues &amp; Expenses'!H21</f>
        <v>674</v>
      </c>
      <c r="I861" s="2133">
        <f>'Part VI-Revenues &amp; Expenses'!I21</f>
        <v>0</v>
      </c>
      <c r="J861" s="2133">
        <f>'Part VI-Revenues &amp; Expenses'!J21</f>
        <v>129</v>
      </c>
      <c r="K861" s="2134">
        <f>'Part VI-Revenues &amp; Expenses'!K21</f>
        <v>0</v>
      </c>
      <c r="L861" s="2135">
        <f t="shared" si="0"/>
        <v>545</v>
      </c>
      <c r="M861" s="2135">
        <f t="shared" si="1"/>
        <v>4360</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t="str">
        <f t="shared" si="14"/>
        <v/>
      </c>
      <c r="AK861" s="1852" t="str">
        <f t="shared" si="15"/>
        <v/>
      </c>
      <c r="AL861" s="1852" t="str">
        <f t="shared" si="16"/>
        <v/>
      </c>
      <c r="AM861" s="1852" t="str">
        <f t="shared" si="17"/>
        <v/>
      </c>
      <c r="AN861" s="1852" t="str">
        <f t="shared" si="18"/>
        <v/>
      </c>
      <c r="AO861" s="1852">
        <f t="shared" si="19"/>
        <v>8</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t="str">
        <f t="shared" si="129"/>
        <v/>
      </c>
      <c r="EV861" s="1852" t="str">
        <f t="shared" si="130"/>
        <v/>
      </c>
      <c r="EW861" s="1852" t="str">
        <f t="shared" si="131"/>
        <v/>
      </c>
      <c r="EX861" s="1852" t="str">
        <f t="shared" si="132"/>
        <v/>
      </c>
      <c r="EY861" s="1852" t="str">
        <f t="shared" si="133"/>
        <v/>
      </c>
      <c r="EZ861" s="1852">
        <f t="shared" si="134"/>
        <v>8408</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8</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f t="shared" si="214"/>
        <v>8</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f t="shared" si="259"/>
        <v>8</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8</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6727</v>
      </c>
    </row>
    <row r="862" spans="1:380" s="1852" customFormat="1" ht="13.9" customHeight="1">
      <c r="A862" s="2108" t="str">
        <f t="shared" si="327"/>
        <v/>
      </c>
      <c r="B862" s="2130">
        <f>'Part VI-Revenues &amp; Expenses'!B22</f>
        <v>60</v>
      </c>
      <c r="C862" s="2131">
        <f>'Part VI-Revenues &amp; Expenses'!C22</f>
        <v>2</v>
      </c>
      <c r="D862" s="2132">
        <f>'Part VI-Revenues &amp; Expenses'!D22</f>
        <v>2</v>
      </c>
      <c r="E862" s="2133">
        <f>'Part VI-Revenues &amp; Expenses'!E22</f>
        <v>13</v>
      </c>
      <c r="F862" s="2133">
        <f>'Part VI-Revenues &amp; Expenses'!F22</f>
        <v>1051</v>
      </c>
      <c r="G862" s="2133">
        <f>'Part VI-Revenues &amp; Expenses'!G22</f>
        <v>841</v>
      </c>
      <c r="H862" s="2133">
        <f>'Part VI-Revenues &amp; Expenses'!H22</f>
        <v>724</v>
      </c>
      <c r="I862" s="2133">
        <f>'Part VI-Revenues &amp; Expenses'!I22</f>
        <v>0</v>
      </c>
      <c r="J862" s="2133">
        <f>'Part VI-Revenues &amp; Expenses'!J22</f>
        <v>129</v>
      </c>
      <c r="K862" s="2134">
        <f>'Part VI-Revenues &amp; Expenses'!K22</f>
        <v>0</v>
      </c>
      <c r="L862" s="2135">
        <f t="shared" si="0"/>
        <v>595</v>
      </c>
      <c r="M862" s="2135">
        <f t="shared" si="1"/>
        <v>7735</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13</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13663</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13</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13</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13</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13</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6728</v>
      </c>
    </row>
    <row r="863" spans="1:380" s="1852" customFormat="1" ht="13.9" customHeight="1">
      <c r="A863" s="2108" t="str">
        <f t="shared" si="327"/>
        <v/>
      </c>
      <c r="B863" s="2130">
        <f>'Part VI-Revenues &amp; Expenses'!B23</f>
        <v>70</v>
      </c>
      <c r="C863" s="2131">
        <f>'Part VI-Revenues &amp; Expenses'!C23</f>
        <v>2</v>
      </c>
      <c r="D863" s="2132">
        <f>'Part VI-Revenues &amp; Expenses'!D23</f>
        <v>2</v>
      </c>
      <c r="E863" s="2133">
        <f>'Part VI-Revenues &amp; Expenses'!E23</f>
        <v>3</v>
      </c>
      <c r="F863" s="2133">
        <f>'Part VI-Revenues &amp; Expenses'!F23</f>
        <v>1051</v>
      </c>
      <c r="G863" s="2133">
        <f>'Part VI-Revenues &amp; Expenses'!G23</f>
        <v>981</v>
      </c>
      <c r="H863" s="2133">
        <f>'Part VI-Revenues &amp; Expenses'!H23</f>
        <v>754</v>
      </c>
      <c r="I863" s="2133">
        <f>'Part VI-Revenues &amp; Expenses'!I23</f>
        <v>0</v>
      </c>
      <c r="J863" s="2133">
        <f>'Part VI-Revenues &amp; Expenses'!J23</f>
        <v>129</v>
      </c>
      <c r="K863" s="2134">
        <f>'Part VI-Revenues &amp; Expenses'!K23</f>
        <v>0</v>
      </c>
      <c r="L863" s="2135">
        <f t="shared" si="0"/>
        <v>625</v>
      </c>
      <c r="M863" s="2135">
        <f t="shared" si="1"/>
        <v>1875</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f t="shared" si="9"/>
        <v>3</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f t="shared" si="69"/>
        <v>3</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f t="shared" si="124"/>
        <v>3153</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f t="shared" si="169"/>
        <v>3</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f t="shared" si="214"/>
        <v>3</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f t="shared" si="259"/>
        <v>3</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3</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6729</v>
      </c>
    </row>
    <row r="864" spans="1:380" s="1852" customFormat="1" ht="13.9" customHeight="1">
      <c r="A864" s="2108" t="str">
        <f t="shared" si="327"/>
        <v/>
      </c>
      <c r="B864" s="2130">
        <f>'Part VI-Revenues &amp; Expenses'!B24</f>
        <v>50</v>
      </c>
      <c r="C864" s="2131">
        <f>'Part VI-Revenues &amp; Expenses'!C24</f>
        <v>3</v>
      </c>
      <c r="D864" s="2132">
        <f>'Part VI-Revenues &amp; Expenses'!D24</f>
        <v>2</v>
      </c>
      <c r="E864" s="2133">
        <f>'Part VI-Revenues &amp; Expenses'!E24</f>
        <v>5</v>
      </c>
      <c r="F864" s="2133">
        <f>'Part VI-Revenues &amp; Expenses'!F24</f>
        <v>1264</v>
      </c>
      <c r="G864" s="2133">
        <f>'Part VI-Revenues &amp; Expenses'!G24</f>
        <v>810</v>
      </c>
      <c r="H864" s="2133">
        <f>'Part VI-Revenues &amp; Expenses'!H24</f>
        <v>783</v>
      </c>
      <c r="I864" s="2133">
        <f>'Part VI-Revenues &amp; Expenses'!I24</f>
        <v>0</v>
      </c>
      <c r="J864" s="2133">
        <f>'Part VI-Revenues &amp; Expenses'!J24</f>
        <v>163</v>
      </c>
      <c r="K864" s="2134">
        <f>'Part VI-Revenues &amp; Expenses'!K24</f>
        <v>0</v>
      </c>
      <c r="L864" s="2135">
        <f t="shared" si="0"/>
        <v>620</v>
      </c>
      <c r="M864" s="2135">
        <f t="shared" si="1"/>
        <v>3100</v>
      </c>
      <c r="N864" s="1916" t="str">
        <f>'Part VI-Revenues &amp; Expenses'!N24</f>
        <v>No</v>
      </c>
      <c r="O864" s="2136" t="str">
        <f>'Part VI-Revenues &amp; Expenses'!O24</f>
        <v>Low-Rise Apt</v>
      </c>
      <c r="P864" s="1916" t="str">
        <f>'Part VI-Revenues &amp; Expenses'!P24</f>
        <v>New Construction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f t="shared" si="20"/>
        <v>5</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f t="shared" si="135"/>
        <v>6320</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f t="shared" si="170"/>
        <v>5</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f t="shared" si="215"/>
        <v>5</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f t="shared" si="260"/>
        <v>5</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5</v>
      </c>
      <c r="MO864" s="2051">
        <f t="shared" si="337"/>
        <v>0</v>
      </c>
      <c r="MP864" s="2051">
        <f t="shared" si="322"/>
        <v>0</v>
      </c>
      <c r="MQ864" s="2051">
        <f t="shared" si="323"/>
        <v>0</v>
      </c>
      <c r="MR864" s="2051">
        <f t="shared" si="324"/>
        <v>0</v>
      </c>
      <c r="MS864" s="2051">
        <f t="shared" si="325"/>
        <v>0</v>
      </c>
      <c r="MT864" s="2051">
        <f t="shared" si="326"/>
        <v>0</v>
      </c>
      <c r="NP864" s="1924" t="s">
        <v>6730</v>
      </c>
    </row>
    <row r="865" spans="1:380" s="1852" customFormat="1" ht="13.9" customHeight="1">
      <c r="A865" s="2108" t="str">
        <f t="shared" si="327"/>
        <v/>
      </c>
      <c r="B865" s="2130">
        <f>'Part VI-Revenues &amp; Expenses'!B25</f>
        <v>60</v>
      </c>
      <c r="C865" s="2131">
        <f>'Part VI-Revenues &amp; Expenses'!C25</f>
        <v>3</v>
      </c>
      <c r="D865" s="2132">
        <f>'Part VI-Revenues &amp; Expenses'!D25</f>
        <v>2</v>
      </c>
      <c r="E865" s="2133">
        <f>'Part VI-Revenues &amp; Expenses'!E25</f>
        <v>9</v>
      </c>
      <c r="F865" s="2133">
        <f>'Part VI-Revenues &amp; Expenses'!F25</f>
        <v>1264</v>
      </c>
      <c r="G865" s="2133">
        <f>'Part VI-Revenues &amp; Expenses'!G25</f>
        <v>972</v>
      </c>
      <c r="H865" s="2133">
        <f>'Part VI-Revenues &amp; Expenses'!H25</f>
        <v>818</v>
      </c>
      <c r="I865" s="2133">
        <f>'Part VI-Revenues &amp; Expenses'!I25</f>
        <v>0</v>
      </c>
      <c r="J865" s="2133">
        <f>'Part VI-Revenues &amp; Expenses'!J25</f>
        <v>163</v>
      </c>
      <c r="K865" s="2134">
        <f>'Part VI-Revenues &amp; Expenses'!K25</f>
        <v>0</v>
      </c>
      <c r="L865" s="2135">
        <f t="shared" si="0"/>
        <v>655</v>
      </c>
      <c r="M865" s="2135">
        <f t="shared" si="1"/>
        <v>5895</v>
      </c>
      <c r="N865" s="1916" t="str">
        <f>'Part VI-Revenues &amp; Expenses'!N25</f>
        <v>No</v>
      </c>
      <c r="O865" s="2136" t="str">
        <f>'Part VI-Revenues &amp; Expenses'!O25</f>
        <v>Low-Rise Apt</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f t="shared" si="15"/>
        <v>9</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f t="shared" si="130"/>
        <v>11376</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f t="shared" si="170"/>
        <v>9</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f t="shared" si="215"/>
        <v>9</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f t="shared" si="260"/>
        <v>9</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9</v>
      </c>
      <c r="MO865" s="2051">
        <f t="shared" si="337"/>
        <v>0</v>
      </c>
      <c r="MP865" s="2051">
        <f t="shared" si="322"/>
        <v>0</v>
      </c>
      <c r="MQ865" s="2051">
        <f t="shared" si="323"/>
        <v>0</v>
      </c>
      <c r="MR865" s="2051">
        <f t="shared" si="324"/>
        <v>0</v>
      </c>
      <c r="MS865" s="2051">
        <f t="shared" si="325"/>
        <v>0</v>
      </c>
      <c r="MT865" s="2051">
        <f t="shared" si="326"/>
        <v>0</v>
      </c>
      <c r="NP865" s="1924" t="s">
        <v>6731</v>
      </c>
    </row>
    <row r="866" spans="1:380" s="1852" customFormat="1" ht="13.9" customHeight="1">
      <c r="A866" s="2108" t="str">
        <f t="shared" si="327"/>
        <v/>
      </c>
      <c r="B866" s="2130">
        <f>'Part VI-Revenues &amp; Expenses'!B26</f>
        <v>70</v>
      </c>
      <c r="C866" s="2131">
        <f>'Part VI-Revenues &amp; Expenses'!C26</f>
        <v>3</v>
      </c>
      <c r="D866" s="2132">
        <f>'Part VI-Revenues &amp; Expenses'!D26</f>
        <v>2</v>
      </c>
      <c r="E866" s="2133">
        <f>'Part VI-Revenues &amp; Expenses'!E26</f>
        <v>2</v>
      </c>
      <c r="F866" s="2133">
        <f>'Part VI-Revenues &amp; Expenses'!F26</f>
        <v>1264</v>
      </c>
      <c r="G866" s="2133">
        <f>'Part VI-Revenues &amp; Expenses'!G26</f>
        <v>1134</v>
      </c>
      <c r="H866" s="2133">
        <f>'Part VI-Revenues &amp; Expenses'!H26</f>
        <v>848</v>
      </c>
      <c r="I866" s="2133">
        <f>'Part VI-Revenues &amp; Expenses'!I26</f>
        <v>0</v>
      </c>
      <c r="J866" s="2133">
        <f>'Part VI-Revenues &amp; Expenses'!J26</f>
        <v>163</v>
      </c>
      <c r="K866" s="2134">
        <f>'Part VI-Revenues &amp; Expenses'!K26</f>
        <v>0</v>
      </c>
      <c r="L866" s="2135">
        <f t="shared" si="0"/>
        <v>685</v>
      </c>
      <c r="M866" s="2135">
        <f t="shared" si="1"/>
        <v>1370</v>
      </c>
      <c r="N866" s="1916" t="str">
        <f>'Part VI-Revenues &amp; Expenses'!N26</f>
        <v>No</v>
      </c>
      <c r="O866" s="2136" t="str">
        <f>'Part VI-Revenues &amp; Expenses'!O26</f>
        <v>Low-Rise Apt</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f t="shared" si="10"/>
        <v>2</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f t="shared" si="70"/>
        <v>2</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f t="shared" si="125"/>
        <v>2528</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2</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2</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f t="shared" si="260"/>
        <v>2</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2</v>
      </c>
      <c r="MO866" s="2051">
        <f t="shared" si="337"/>
        <v>0</v>
      </c>
      <c r="MP866" s="2051">
        <f t="shared" si="322"/>
        <v>0</v>
      </c>
      <c r="MQ866" s="2051">
        <f t="shared" si="323"/>
        <v>0</v>
      </c>
      <c r="MR866" s="2051">
        <f t="shared" si="324"/>
        <v>0</v>
      </c>
      <c r="MS866" s="2051">
        <f t="shared" si="325"/>
        <v>0</v>
      </c>
      <c r="MT866" s="2051">
        <f t="shared" si="326"/>
        <v>0</v>
      </c>
      <c r="NP866" s="1924" t="s">
        <v>6732</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6733</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6734</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6735</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6736</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6737</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6738</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6739</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6740</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6741</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6742</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6743</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6744</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6745</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6746</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6747</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6748</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6749</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6750</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6751</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6752</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6753</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6754</v>
      </c>
    </row>
    <row r="889" spans="1:380" s="1852" customFormat="1" ht="13.9" customHeight="1">
      <c r="A889" s="2108">
        <f>COUNT(A851,A852,A853,A854,A855,A856,A857,A858,A859,A860,A861,A862,A863,A864,A865,A866,A867,A868,A869,A870,A871,A872,A873,A874,A875,A876,A877,A878,A879,A880)</f>
        <v>0</v>
      </c>
      <c r="B889" s="435" t="s">
        <v>3923</v>
      </c>
      <c r="C889" s="435"/>
      <c r="D889" s="2141" t="s">
        <v>979</v>
      </c>
      <c r="E889" s="2142">
        <f>SUM(E851:E888)</f>
        <v>48</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51936</v>
      </c>
      <c r="H889" s="2144" t="s">
        <v>3920</v>
      </c>
      <c r="I889" s="2145" t="s">
        <v>3921</v>
      </c>
      <c r="J889" s="2146" t="str">
        <f>IF(P907=0,"",IF(SUM(P898:P902)/P907&gt;=0.4,"Pass","Fail"))</f>
        <v>Pass</v>
      </c>
      <c r="K889" s="436"/>
      <c r="L889" s="2141" t="s">
        <v>1254</v>
      </c>
      <c r="M889" s="2147">
        <f>SUM(M851:M888)</f>
        <v>28340</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1</v>
      </c>
      <c r="AE889" s="2140">
        <f t="shared" si="338"/>
        <v>3</v>
      </c>
      <c r="AF889" s="2140">
        <f t="shared" si="338"/>
        <v>2</v>
      </c>
      <c r="AG889" s="2140">
        <f t="shared" si="338"/>
        <v>0</v>
      </c>
      <c r="AH889" s="2140">
        <f t="shared" si="338"/>
        <v>0</v>
      </c>
      <c r="AI889" s="2140">
        <f t="shared" si="338"/>
        <v>4</v>
      </c>
      <c r="AJ889" s="2140">
        <f t="shared" si="338"/>
        <v>13</v>
      </c>
      <c r="AK889" s="2140">
        <f t="shared" si="338"/>
        <v>9</v>
      </c>
      <c r="AL889" s="2140">
        <f t="shared" si="338"/>
        <v>0</v>
      </c>
      <c r="AM889" s="2140">
        <f>SUM(AM851:AM888)</f>
        <v>0</v>
      </c>
      <c r="AN889" s="2140">
        <f>SUM(AN851:AN888)</f>
        <v>3</v>
      </c>
      <c r="AO889" s="2140">
        <f>SUM(AO851:AO888)</f>
        <v>8</v>
      </c>
      <c r="AP889" s="2140">
        <f>SUM(AP851:AP888)</f>
        <v>5</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1</v>
      </c>
      <c r="CM889" s="2140">
        <f>SUM(CM851:CM888)</f>
        <v>3</v>
      </c>
      <c r="CN889" s="2140">
        <f>SUM(CN851:CN888)</f>
        <v>2</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811</v>
      </c>
      <c r="EP889" s="2140">
        <f t="shared" si="338"/>
        <v>3153</v>
      </c>
      <c r="EQ889" s="2140">
        <f t="shared" si="338"/>
        <v>2528</v>
      </c>
      <c r="ER889" s="2140">
        <f t="shared" si="338"/>
        <v>0</v>
      </c>
      <c r="ES889" s="2140">
        <f t="shared" si="338"/>
        <v>0</v>
      </c>
      <c r="ET889" s="2140">
        <f t="shared" si="338"/>
        <v>3244</v>
      </c>
      <c r="EU889" s="2140">
        <f t="shared" si="338"/>
        <v>13663</v>
      </c>
      <c r="EV889" s="2140">
        <f t="shared" si="338"/>
        <v>11376</v>
      </c>
      <c r="EW889" s="2140">
        <f t="shared" si="338"/>
        <v>0</v>
      </c>
      <c r="EX889" s="2140">
        <f t="shared" si="338"/>
        <v>0</v>
      </c>
      <c r="EY889" s="2140">
        <f t="shared" si="338"/>
        <v>2433</v>
      </c>
      <c r="EZ889" s="2140">
        <f t="shared" si="338"/>
        <v>8408</v>
      </c>
      <c r="FA889" s="2140">
        <f t="shared" si="338"/>
        <v>6320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8</v>
      </c>
      <c r="GI889" s="2140">
        <f t="shared" si="340"/>
        <v>24</v>
      </c>
      <c r="GJ889" s="2140">
        <f t="shared" si="340"/>
        <v>16</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8</v>
      </c>
      <c r="IB889" s="2140">
        <f t="shared" si="341"/>
        <v>24</v>
      </c>
      <c r="IC889" s="2140">
        <f t="shared" si="341"/>
        <v>16</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8</v>
      </c>
      <c r="JU889" s="2140">
        <f t="shared" si="341"/>
        <v>24</v>
      </c>
      <c r="JV889" s="2140">
        <f t="shared" si="341"/>
        <v>16</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8</v>
      </c>
      <c r="MM889" s="2140">
        <f t="shared" si="342"/>
        <v>24</v>
      </c>
      <c r="MN889" s="2140">
        <f t="shared" si="342"/>
        <v>16</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6755</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57.916666666666664</v>
      </c>
      <c r="C890" s="2148"/>
      <c r="D890" s="2108" t="s">
        <v>3830</v>
      </c>
      <c r="E890" s="2142">
        <f>SUM(E858:E888)</f>
        <v>48</v>
      </c>
      <c r="F890" s="2143">
        <f>(E858*F858+E859*F859+E860*F860+E861*F861+E862*F862+E863*F863+E864*F864+E865*F865+E866*F866+E867*F867+E868*F868+E869*F869+E870*F870+E871*F871+E872*F872+E873*F873+E874*F874+E875*F875+E876*F876+E877*F877+E878*F878+E879*F879+E880*F880+E881*F881+E882*F882+E883*F883+E884*F884+E885*F885+E886*F886+E887*F887+E888*F888)</f>
        <v>51936</v>
      </c>
      <c r="H890" s="2144"/>
      <c r="I890" s="2145" t="s">
        <v>3922</v>
      </c>
      <c r="J890" s="2146" t="str">
        <f>IF(P907=0,"",IF(SUM(P899:P902)/P907&gt;=0.2,"Pass","Fail"))</f>
        <v>Pass</v>
      </c>
      <c r="K890" s="436"/>
      <c r="L890" s="2141" t="s">
        <v>781</v>
      </c>
      <c r="M890" s="2147">
        <f>M889*12</f>
        <v>340080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6756</v>
      </c>
    </row>
    <row r="891" spans="1:380" s="1852" customFormat="1" ht="12" customHeight="1">
      <c r="A891" s="1864" t="s">
        <v>7093</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6820</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4284</v>
      </c>
      <c r="B896" s="1843"/>
      <c r="C896" s="1818" t="s">
        <v>1095</v>
      </c>
      <c r="D896" s="1818"/>
      <c r="E896" s="1818"/>
      <c r="F896" s="1818"/>
      <c r="H896" s="1719" t="s">
        <v>3831</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3832</v>
      </c>
      <c r="I897" s="435"/>
      <c r="K897" s="2152">
        <f>AC889</f>
        <v>0</v>
      </c>
      <c r="L897" s="2152">
        <f>AD889</f>
        <v>1</v>
      </c>
      <c r="M897" s="2152">
        <f>AE889</f>
        <v>3</v>
      </c>
      <c r="N897" s="2152">
        <f>AF889</f>
        <v>2</v>
      </c>
      <c r="O897" s="2152">
        <f>AG889</f>
        <v>0</v>
      </c>
      <c r="P897" s="2152">
        <f t="shared" si="343"/>
        <v>6</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4</v>
      </c>
      <c r="M898" s="2152">
        <f>AJ889</f>
        <v>13</v>
      </c>
      <c r="N898" s="2152">
        <f>AK889</f>
        <v>9</v>
      </c>
      <c r="O898" s="2152">
        <f>AL889</f>
        <v>0</v>
      </c>
      <c r="P898" s="2152">
        <f t="shared" si="343"/>
        <v>26</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3</v>
      </c>
      <c r="M899" s="2152">
        <f>AO889</f>
        <v>8</v>
      </c>
      <c r="N899" s="2152">
        <f>AP889</f>
        <v>5</v>
      </c>
      <c r="O899" s="2152">
        <f>AQ889</f>
        <v>0</v>
      </c>
      <c r="P899" s="2152">
        <f t="shared" si="343"/>
        <v>16</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3833</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3834</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3835</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3917</v>
      </c>
      <c r="D903" s="1818"/>
      <c r="E903" s="1818"/>
      <c r="F903" s="1818"/>
      <c r="H903" s="2114"/>
      <c r="I903" s="2112"/>
      <c r="K903" s="2152">
        <f>SUM(K896:K902)</f>
        <v>0</v>
      </c>
      <c r="L903" s="2152">
        <f>SUM(L896:L902)</f>
        <v>8</v>
      </c>
      <c r="M903" s="2152">
        <f>SUM(M896:M902)</f>
        <v>24</v>
      </c>
      <c r="N903" s="2152">
        <f>SUM(N896:N902)</f>
        <v>16</v>
      </c>
      <c r="O903" s="2152">
        <f>SUM(O896:O902)</f>
        <v>0</v>
      </c>
      <c r="P903" s="2152">
        <f t="shared" si="343"/>
        <v>48</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8</v>
      </c>
      <c r="M905" s="2157">
        <f>SUM(M903:M904)</f>
        <v>24</v>
      </c>
      <c r="N905" s="2157">
        <f>SUM(N903:N904)</f>
        <v>16</v>
      </c>
      <c r="O905" s="2157">
        <f>SUM(O903:O904)</f>
        <v>0</v>
      </c>
      <c r="P905" s="2157">
        <f t="shared" si="343"/>
        <v>48</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8</v>
      </c>
      <c r="M907" s="2152">
        <f>SUM(M905:M906)</f>
        <v>24</v>
      </c>
      <c r="N907" s="2152">
        <f>SUM(N905:N906)</f>
        <v>16</v>
      </c>
      <c r="O907" s="2152">
        <f>SUM(O905:O906)</f>
        <v>0</v>
      </c>
      <c r="P907" s="2152">
        <f t="shared" si="343"/>
        <v>48</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3928</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3831</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4276</v>
      </c>
      <c r="S910" s="2043"/>
      <c r="T910" s="2043"/>
      <c r="U910" s="2043"/>
      <c r="V910" s="2043"/>
      <c r="W910" s="2043"/>
    </row>
    <row r="911" spans="1:380">
      <c r="A911" s="1843"/>
      <c r="B911" s="1843"/>
      <c r="C911" s="2113"/>
      <c r="D911" s="1852"/>
      <c r="E911" s="1852"/>
      <c r="F911" s="1852"/>
      <c r="G911" s="1852"/>
      <c r="H911" s="2159" t="s">
        <v>7094</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7095</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7096</v>
      </c>
      <c r="E913" s="2113"/>
      <c r="F913" s="2113"/>
      <c r="G913" s="1852"/>
      <c r="H913" s="2159" t="s">
        <v>3832</v>
      </c>
      <c r="I913" s="2160"/>
      <c r="J913" s="1818"/>
      <c r="K913" s="2162" t="str">
        <f t="shared" ref="K913:P913" si="346">IF(OR(K897=0,K907=0),"",K897/K907)</f>
        <v/>
      </c>
      <c r="L913" s="2162">
        <f t="shared" si="346"/>
        <v>0.125</v>
      </c>
      <c r="M913" s="2162">
        <f t="shared" si="346"/>
        <v>0.125</v>
      </c>
      <c r="N913" s="2162">
        <f t="shared" si="346"/>
        <v>0.125</v>
      </c>
      <c r="O913" s="2162" t="str">
        <f t="shared" si="346"/>
        <v/>
      </c>
      <c r="P913" s="2162">
        <f t="shared" si="346"/>
        <v>0.125</v>
      </c>
      <c r="S913" s="2043"/>
      <c r="T913" s="2043"/>
      <c r="U913" s="2043"/>
      <c r="V913" s="2043"/>
      <c r="W913" s="2043"/>
    </row>
    <row r="914" spans="3:23">
      <c r="C914" s="2113"/>
      <c r="D914" s="2113"/>
      <c r="E914" s="2113"/>
      <c r="F914" s="2113"/>
      <c r="G914" s="1852"/>
      <c r="H914" s="2159" t="s">
        <v>7094</v>
      </c>
      <c r="I914" s="2160"/>
      <c r="J914" s="1818"/>
      <c r="K914" s="2163" t="str">
        <f>IF(OR(K897=0,P913="",K907=0),"",P913*K907)</f>
        <v/>
      </c>
      <c r="L914" s="2163">
        <f>IF(OR(L897=0,P913="",L907=0),"",P913*L907)</f>
        <v>1</v>
      </c>
      <c r="M914" s="2163">
        <f>IF(OR(M897=0,P913="",M907=0),"",P913*M907)</f>
        <v>3</v>
      </c>
      <c r="N914" s="2163">
        <f>IF(OR(N897=0,P913="",N907=0),"",P913*N907)</f>
        <v>2</v>
      </c>
      <c r="O914" s="2163" t="str">
        <f>IF(OR(O897=0,P913="",O907=0),"",P913*O907)</f>
        <v/>
      </c>
      <c r="P914" s="2163">
        <f>IF(OR(P913="",P907=0),"",P913*P907)</f>
        <v>6</v>
      </c>
      <c r="S914" s="2043"/>
      <c r="T914" s="2043"/>
      <c r="U914" s="2043"/>
      <c r="V914" s="2043"/>
      <c r="W914" s="2043"/>
    </row>
    <row r="915" spans="3:23">
      <c r="C915" s="2113"/>
      <c r="D915" s="2113"/>
      <c r="E915" s="2113"/>
      <c r="F915" s="2113"/>
      <c r="G915" s="2164"/>
      <c r="H915" s="2159" t="s">
        <v>7095</v>
      </c>
      <c r="I915" s="2160"/>
      <c r="J915" s="1818"/>
      <c r="K915" s="2163" t="str">
        <f t="shared" ref="K915:P915" si="347">IF(OR(K914="",K897=0),"", K897-K914)</f>
        <v/>
      </c>
      <c r="L915" s="2163">
        <f t="shared" si="347"/>
        <v>0</v>
      </c>
      <c r="M915" s="2163">
        <f t="shared" si="347"/>
        <v>0</v>
      </c>
      <c r="N915" s="2163">
        <f t="shared" si="347"/>
        <v>0</v>
      </c>
      <c r="O915" s="2163" t="str">
        <f t="shared" si="347"/>
        <v/>
      </c>
      <c r="P915" s="2163">
        <f t="shared" si="347"/>
        <v>0</v>
      </c>
      <c r="S915" s="2043"/>
      <c r="T915" s="2043"/>
      <c r="U915" s="2043"/>
      <c r="V915" s="2043"/>
      <c r="W915" s="2043"/>
    </row>
    <row r="916" spans="3:23">
      <c r="C916" s="1924" t="s">
        <v>4274</v>
      </c>
      <c r="D916" s="2113"/>
      <c r="E916" s="2113"/>
      <c r="F916" s="2113"/>
      <c r="G916" s="1852"/>
      <c r="H916" s="2159" t="s">
        <v>1107</v>
      </c>
      <c r="I916" s="2160"/>
      <c r="J916" s="1818"/>
      <c r="K916" s="2162" t="str">
        <f t="shared" ref="K916:P916" si="348">IF(OR(K898=0,K907=0),"",K898/K907)</f>
        <v/>
      </c>
      <c r="L916" s="2162">
        <f t="shared" si="348"/>
        <v>0.5</v>
      </c>
      <c r="M916" s="2162">
        <f t="shared" si="348"/>
        <v>0.54166666666666663</v>
      </c>
      <c r="N916" s="2162">
        <f t="shared" si="348"/>
        <v>0.5625</v>
      </c>
      <c r="O916" s="2162" t="str">
        <f t="shared" si="348"/>
        <v/>
      </c>
      <c r="P916" s="2162">
        <f t="shared" si="348"/>
        <v>0.54166666666666663</v>
      </c>
      <c r="S916" s="2043"/>
      <c r="T916" s="2043"/>
      <c r="U916" s="2043"/>
      <c r="V916" s="2043"/>
      <c r="W916" s="2043"/>
    </row>
    <row r="917" spans="3:23" ht="15.75" customHeight="1">
      <c r="D917" s="2113"/>
      <c r="E917" s="2113"/>
      <c r="F917" s="2113"/>
      <c r="G917" s="1852"/>
      <c r="H917" s="2159" t="s">
        <v>7094</v>
      </c>
      <c r="I917" s="2160"/>
      <c r="J917" s="1818"/>
      <c r="K917" s="2163" t="str">
        <f>IF(OR(K898=0,P916="",K907=0),"",P916*K907)</f>
        <v/>
      </c>
      <c r="L917" s="2163">
        <f>IF(OR(L898=0,P916="",L907=0),"",P916*L907)</f>
        <v>4.333333333333333</v>
      </c>
      <c r="M917" s="2163">
        <f>IF(OR(M898=0,P916="",M907=0),"",P916*M907)</f>
        <v>13</v>
      </c>
      <c r="N917" s="2163">
        <f>IF(OR(N898=0,P916="",N907=0),"",P916*N907)</f>
        <v>8.6666666666666661</v>
      </c>
      <c r="O917" s="2163" t="str">
        <f>IF(OR(O898=0,P916="",O907=0),"",P916*O907)</f>
        <v/>
      </c>
      <c r="P917" s="2163">
        <f>IF(OR(P916="",P907=0),"",P916*P907)</f>
        <v>26</v>
      </c>
      <c r="S917" s="2043"/>
      <c r="T917" s="2043"/>
      <c r="U917" s="2043"/>
      <c r="V917" s="2043"/>
      <c r="W917" s="2043"/>
    </row>
    <row r="918" spans="3:23" ht="15.75" customHeight="1">
      <c r="D918" s="2113"/>
      <c r="E918" s="2113"/>
      <c r="F918" s="2113"/>
      <c r="G918" s="2164"/>
      <c r="H918" s="2159" t="s">
        <v>7095</v>
      </c>
      <c r="I918" s="2160"/>
      <c r="J918" s="1818"/>
      <c r="K918" s="2163" t="str">
        <f t="shared" ref="K918:P918" si="349">IF(OR(K917="",K898=0),"", K898-K917)</f>
        <v/>
      </c>
      <c r="L918" s="2163">
        <f t="shared" si="349"/>
        <v>-0.33333333333333304</v>
      </c>
      <c r="M918" s="2163">
        <f t="shared" si="349"/>
        <v>0</v>
      </c>
      <c r="N918" s="2163">
        <f t="shared" si="349"/>
        <v>0.33333333333333393</v>
      </c>
      <c r="O918" s="2163" t="str">
        <f t="shared" si="349"/>
        <v/>
      </c>
      <c r="P918" s="2163">
        <f t="shared" si="349"/>
        <v>0</v>
      </c>
    </row>
    <row r="919" spans="3:23">
      <c r="C919" s="1924" t="s">
        <v>4274</v>
      </c>
      <c r="F919" s="1852"/>
      <c r="G919" s="1852"/>
      <c r="H919" s="2159" t="s">
        <v>111</v>
      </c>
      <c r="I919" s="2160"/>
      <c r="J919" s="1818"/>
      <c r="K919" s="2162" t="str">
        <f t="shared" ref="K919:P919" si="350">IF(OR(K899=0,K907=0),"",K899/K907)</f>
        <v/>
      </c>
      <c r="L919" s="2162">
        <f t="shared" si="350"/>
        <v>0.375</v>
      </c>
      <c r="M919" s="2162">
        <f t="shared" si="350"/>
        <v>0.33333333333333331</v>
      </c>
      <c r="N919" s="2162">
        <f t="shared" si="350"/>
        <v>0.3125</v>
      </c>
      <c r="O919" s="2162" t="str">
        <f t="shared" si="350"/>
        <v/>
      </c>
      <c r="P919" s="2162">
        <f t="shared" si="350"/>
        <v>0.33333333333333331</v>
      </c>
    </row>
    <row r="920" spans="3:23">
      <c r="F920" s="1852"/>
      <c r="G920" s="1852"/>
      <c r="H920" s="2159" t="s">
        <v>7094</v>
      </c>
      <c r="I920" s="2160"/>
      <c r="J920" s="1818"/>
      <c r="K920" s="2163" t="str">
        <f>IF(OR(K899=0,P919="",K907=0),"",P919*K907)</f>
        <v/>
      </c>
      <c r="L920" s="2163">
        <f>IF(OR(L899=0,P919="",L907=0),"",P919*L907)</f>
        <v>2.6666666666666665</v>
      </c>
      <c r="M920" s="2163">
        <f>IF(OR(M899=0,P919="",M907=0),"",P919*M907)</f>
        <v>8</v>
      </c>
      <c r="N920" s="2163">
        <f>IF(OR(N899=0,P919="",N907=0),"",P919*N907)</f>
        <v>5.333333333333333</v>
      </c>
      <c r="O920" s="2163" t="str">
        <f>IF(OR(O899=0,P919="",O907=0),"",P919*O907)</f>
        <v/>
      </c>
      <c r="P920" s="2163">
        <f>IF(OR(P919="",P907=0),"",P919*P907)</f>
        <v>16</v>
      </c>
    </row>
    <row r="921" spans="3:23">
      <c r="F921" s="1852"/>
      <c r="G921" s="2164"/>
      <c r="H921" s="2159" t="s">
        <v>7095</v>
      </c>
      <c r="I921" s="2160"/>
      <c r="J921" s="1818"/>
      <c r="K921" s="2163" t="str">
        <f t="shared" ref="K921:P921" si="351">IF(OR(K920="",K899=0),"", K899-K920)</f>
        <v/>
      </c>
      <c r="L921" s="2163">
        <f t="shared" si="351"/>
        <v>0.33333333333333348</v>
      </c>
      <c r="M921" s="2163">
        <f t="shared" si="351"/>
        <v>0</v>
      </c>
      <c r="N921" s="2163">
        <f t="shared" si="351"/>
        <v>-0.33333333333333304</v>
      </c>
      <c r="O921" s="2163" t="str">
        <f t="shared" si="351"/>
        <v/>
      </c>
      <c r="P921" s="2163">
        <f t="shared" si="351"/>
        <v>0</v>
      </c>
    </row>
    <row r="922" spans="3:23">
      <c r="C922" s="1924" t="s">
        <v>4274</v>
      </c>
      <c r="F922" s="1852"/>
      <c r="G922" s="1852"/>
      <c r="H922" s="2159" t="s">
        <v>3833</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7094</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7095</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4274</v>
      </c>
      <c r="D925" s="1852"/>
      <c r="E925" s="1852"/>
      <c r="F925" s="1852"/>
      <c r="G925" s="1852"/>
      <c r="H925" s="2159" t="s">
        <v>3834</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7094</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7095</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4274</v>
      </c>
      <c r="D928" s="1852"/>
      <c r="E928" s="1852"/>
      <c r="F928" s="1852"/>
      <c r="G928" s="1852"/>
      <c r="H928" s="2159" t="s">
        <v>3835</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7094</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7095</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3831</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3832</v>
      </c>
      <c r="I934" s="435"/>
      <c r="K934" s="2152">
        <f>CK889</f>
        <v>0</v>
      </c>
      <c r="L934" s="2152">
        <f>CL889</f>
        <v>1</v>
      </c>
      <c r="M934" s="2152">
        <f>CM889</f>
        <v>3</v>
      </c>
      <c r="N934" s="2152">
        <f>CN889</f>
        <v>2</v>
      </c>
      <c r="O934" s="2152">
        <f>CO889</f>
        <v>0</v>
      </c>
      <c r="P934" s="2152">
        <f t="shared" si="358"/>
        <v>6</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3833</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3834</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3835</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1</v>
      </c>
      <c r="M940" s="2152">
        <f>SUM(M933:M939)</f>
        <v>3</v>
      </c>
      <c r="N940" s="2152">
        <f>SUM(N933:N939)</f>
        <v>2</v>
      </c>
      <c r="O940" s="2152">
        <f>SUM(O933:O939)</f>
        <v>0</v>
      </c>
      <c r="P940" s="2152">
        <f t="shared" si="358"/>
        <v>6</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7097</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3831</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3832</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3833</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3834</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3835</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8</v>
      </c>
      <c r="M953" s="2152">
        <f>GI889</f>
        <v>24</v>
      </c>
      <c r="N953" s="2152">
        <f>GJ889</f>
        <v>16</v>
      </c>
      <c r="O953" s="2152">
        <f>GK889</f>
        <v>0</v>
      </c>
      <c r="P953" s="2152">
        <f t="shared" ref="P953:P963" si="360">SUM(K953:O953)</f>
        <v>48</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8</v>
      </c>
      <c r="M955" s="2152">
        <f>SUM(M953:M954)+GS889</f>
        <v>24</v>
      </c>
      <c r="N955" s="2152">
        <f>SUM(N953:N954)+GT889</f>
        <v>16</v>
      </c>
      <c r="O955" s="2152">
        <f>SUM(O953:O954)+GU889</f>
        <v>0</v>
      </c>
      <c r="P955" s="2152">
        <f t="shared" si="360"/>
        <v>48</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6846</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7098</v>
      </c>
      <c r="D967" s="2158"/>
      <c r="E967" s="1719" t="s">
        <v>36</v>
      </c>
      <c r="F967" s="1818"/>
      <c r="G967" s="1864"/>
      <c r="H967" s="2114"/>
      <c r="K967" s="2152">
        <f t="shared" ref="K967:P967" si="361">SUM(K968:K975)</f>
        <v>0</v>
      </c>
      <c r="L967" s="2152">
        <f t="shared" si="361"/>
        <v>8</v>
      </c>
      <c r="M967" s="2152">
        <f t="shared" si="361"/>
        <v>24</v>
      </c>
      <c r="N967" s="2152">
        <f t="shared" si="361"/>
        <v>16</v>
      </c>
      <c r="O967" s="2152">
        <f t="shared" si="361"/>
        <v>0</v>
      </c>
      <c r="P967" s="2152">
        <f t="shared" si="361"/>
        <v>48</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6596</v>
      </c>
      <c r="I968" s="2121"/>
      <c r="K968" s="2152">
        <f>JS889</f>
        <v>0</v>
      </c>
      <c r="L968" s="2152">
        <f>JT889</f>
        <v>8</v>
      </c>
      <c r="M968" s="2152">
        <f>JU889</f>
        <v>24</v>
      </c>
      <c r="N968" s="2152">
        <f>JV889</f>
        <v>16</v>
      </c>
      <c r="O968" s="2152">
        <f>JW889</f>
        <v>0</v>
      </c>
      <c r="P968" s="2152">
        <f t="shared" ref="P968:P983" si="362">SUM(K968:O968)</f>
        <v>48</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6805</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6598</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6812</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6807</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6808</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6592</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7097</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7099</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8</v>
      </c>
      <c r="M991" s="2152">
        <f t="shared" si="366"/>
        <v>24</v>
      </c>
      <c r="N991" s="2152">
        <f t="shared" si="366"/>
        <v>16</v>
      </c>
      <c r="O991" s="2152">
        <f t="shared" si="366"/>
        <v>0</v>
      </c>
      <c r="P991" s="2152">
        <f t="shared" si="364"/>
        <v>48</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7025</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6821</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3831</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3832</v>
      </c>
      <c r="I998" s="2121"/>
      <c r="K998" s="2171">
        <f>EN889</f>
        <v>0</v>
      </c>
      <c r="L998" s="2171">
        <f>EO889</f>
        <v>811</v>
      </c>
      <c r="M998" s="2171">
        <f>EP889</f>
        <v>3153</v>
      </c>
      <c r="N998" s="2171">
        <f>EQ889</f>
        <v>2528</v>
      </c>
      <c r="O998" s="2171">
        <f>ER889</f>
        <v>0</v>
      </c>
      <c r="P998" s="2171">
        <f t="shared" si="367"/>
        <v>6492</v>
      </c>
      <c r="Q998" s="2172">
        <f t="shared" si="368"/>
        <v>1082</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3244</v>
      </c>
      <c r="M999" s="2171">
        <f>EU889</f>
        <v>13663</v>
      </c>
      <c r="N999" s="2171">
        <f>EV889</f>
        <v>11376</v>
      </c>
      <c r="O999" s="2171">
        <f>EW889</f>
        <v>0</v>
      </c>
      <c r="P999" s="2171">
        <f t="shared" si="367"/>
        <v>28283</v>
      </c>
      <c r="Q999" s="2172">
        <f t="shared" si="368"/>
        <v>1087.8076923076924</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2433</v>
      </c>
      <c r="M1000" s="2171">
        <f>EZ889</f>
        <v>8408</v>
      </c>
      <c r="N1000" s="2171">
        <f>FA889</f>
        <v>6320</v>
      </c>
      <c r="O1000" s="2171">
        <f>FB889</f>
        <v>0</v>
      </c>
      <c r="P1000" s="2171">
        <f t="shared" si="367"/>
        <v>17161</v>
      </c>
      <c r="Q1000" s="2172">
        <f t="shared" si="368"/>
        <v>1072.5625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3833</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3834</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3835</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3916</v>
      </c>
      <c r="I1004" s="2170"/>
      <c r="J1004" s="2154"/>
      <c r="K1004" s="2173">
        <f>SUM(K997:K1003)</f>
        <v>0</v>
      </c>
      <c r="L1004" s="2173">
        <f>SUM(L997:L1003)</f>
        <v>6488</v>
      </c>
      <c r="M1004" s="2173">
        <f>SUM(M997:M1003)</f>
        <v>25224</v>
      </c>
      <c r="N1004" s="2173">
        <f>SUM(N997:N1003)</f>
        <v>20224</v>
      </c>
      <c r="O1004" s="2173">
        <f>SUM(O997:O1003)</f>
        <v>0</v>
      </c>
      <c r="P1004" s="2173">
        <f>SUM(K1004:O1004)</f>
        <v>51936</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6488</v>
      </c>
      <c r="M1006" s="2173">
        <f>SUM(M1004:M1005)</f>
        <v>25224</v>
      </c>
      <c r="N1006" s="2173">
        <f>SUM(N1004:N1005)</f>
        <v>20224</v>
      </c>
      <c r="O1006" s="2173">
        <f>SUM(O1004:O1005)</f>
        <v>0</v>
      </c>
      <c r="P1006" s="2173">
        <f>SUM(K1006:O1006)</f>
        <v>51936</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6488</v>
      </c>
      <c r="M1008" s="2171">
        <f>SUM(M1006:M1007)</f>
        <v>25224</v>
      </c>
      <c r="N1008" s="2171">
        <f>SUM(N1006:N1007)</f>
        <v>20224</v>
      </c>
      <c r="O1008" s="2171">
        <f>SUM(O1006:O1007)</f>
        <v>0</v>
      </c>
      <c r="P1008" s="2171">
        <f>SUM(K1008:O1008)</f>
        <v>51936</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7100</v>
      </c>
      <c r="K1011" s="2174" t="str">
        <f>IF(OR(K907="",K907=0),"",K1008/K907)</f>
        <v/>
      </c>
      <c r="L1011" s="2174">
        <f>IF(OR(L907="",L907=0),"",L1008/L907)</f>
        <v>811</v>
      </c>
      <c r="M1011" s="2174">
        <f>IF(OR(M907="",M907=0),"",M1008/M907)</f>
        <v>1051</v>
      </c>
      <c r="N1011" s="2174">
        <f>IF(OR(N907="",N907=0),"",N1008/N907)</f>
        <v>1264</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7101</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6801.6</v>
      </c>
      <c r="I1016" s="2176"/>
      <c r="J1016" s="2176"/>
      <c r="K1016" s="1719"/>
      <c r="L1016" s="2115" t="s">
        <v>7026</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7027</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7028</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7027</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7028</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7027</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7028</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7027</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7028</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23040</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32000</v>
      </c>
      <c r="G1058" s="2189"/>
      <c r="I1058" s="1818" t="s">
        <v>1329</v>
      </c>
      <c r="L1058" s="2189">
        <f>'Part VI-Revenues &amp; Expenses'!L218</f>
        <v>0</v>
      </c>
      <c r="M1058" s="2189"/>
      <c r="O1058" s="2190">
        <f>+Q1057/(P907*0.93)</f>
        <v>516.12903225806451</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27500</v>
      </c>
      <c r="G1059" s="2189"/>
      <c r="I1059" s="1818" t="s">
        <v>1330</v>
      </c>
      <c r="L1059" s="2189">
        <f>'Part VI-Revenues &amp; Expenses'!L219</f>
        <v>600</v>
      </c>
      <c r="M1059" s="2189"/>
      <c r="O1059" s="2190">
        <f>+Q1057/(P907*0.93)/12</f>
        <v>43.01075268817204</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600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4222</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4223</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f>'Part VI-Revenues &amp; Expenses'!B223</f>
        <v>0</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59500</v>
      </c>
      <c r="G1064" s="2171"/>
      <c r="I1064" s="1818" t="s">
        <v>1536</v>
      </c>
      <c r="L1064" s="2189">
        <f>'Part VI-Revenues &amp; Expenses'!L224</f>
        <v>1000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7000</v>
      </c>
      <c r="M1065" s="2189"/>
      <c r="N1065" s="1719" t="str">
        <f>IF(Q1067="","",IF(Q1065&lt;Q1067, "WARNING! OE below required minimum.",""))</f>
        <v/>
      </c>
      <c r="O1065" s="1818" t="s">
        <v>2091</v>
      </c>
      <c r="Q1065" s="2174">
        <f>F1064+F1073+F1084+L1060+L1068+L1077+L1084+Q1057</f>
        <v>234358</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1000</v>
      </c>
      <c r="M1066" s="2189"/>
      <c r="N1066" s="1719"/>
      <c r="O1066" s="2156" t="s">
        <v>2588</v>
      </c>
      <c r="P1066" s="2190">
        <f>+Q1065/P907</f>
        <v>4882.458333333333</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6757</v>
      </c>
    </row>
    <row r="1067" spans="2:380" s="1818" customFormat="1" ht="15.6" customHeight="1">
      <c r="B1067" s="1818" t="s">
        <v>1323</v>
      </c>
      <c r="D1067" s="2192"/>
      <c r="F1067" s="2189">
        <f>'Part VI-Revenues &amp; Expenses'!F227</f>
        <v>2500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3500</v>
      </c>
      <c r="G1068" s="2189"/>
      <c r="K1068" s="2191" t="s">
        <v>183</v>
      </c>
      <c r="L1068" s="2174">
        <f>SUM(L1064:L1067)</f>
        <v>9000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6758</v>
      </c>
    </row>
    <row r="1071" spans="2:380" s="1818" customFormat="1" ht="15.6" customHeight="1">
      <c r="B1071" s="1818" t="s">
        <v>1534</v>
      </c>
      <c r="D1071" s="2192"/>
      <c r="F1071" s="2189">
        <f>'Part VI-Revenues &amp; Expenses'!F231</f>
        <v>1440</v>
      </c>
      <c r="G1071" s="2189"/>
      <c r="I1071" s="1818" t="s">
        <v>1326</v>
      </c>
      <c r="K1071" s="1857" t="s">
        <v>4065</v>
      </c>
      <c r="O1071" s="1818" t="s">
        <v>3206</v>
      </c>
      <c r="Q1071" s="2194">
        <f>'Part VI-Revenues &amp; Expenses'!Q231</f>
        <v>12000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Miscellaneous Administraive Costs</v>
      </c>
      <c r="C1072" s="2111"/>
      <c r="D1072" s="2111"/>
      <c r="E1072" s="2111"/>
      <c r="F1072" s="2189">
        <f>'Part VI-Revenues &amp; Expenses'!F232</f>
        <v>5418</v>
      </c>
      <c r="G1072" s="2189"/>
      <c r="I1072" s="1818" t="s">
        <v>1319</v>
      </c>
      <c r="K1072" s="2010">
        <f>L1072/12/P907</f>
        <v>23.263888888888889</v>
      </c>
      <c r="L1072" s="2189">
        <f>'Part VI-Revenues &amp; Expenses'!L232</f>
        <v>13400</v>
      </c>
      <c r="M1072" s="2189"/>
      <c r="N1072" s="1719" t="str">
        <f>IF(Q1071&lt;Q1080, "WARNING! RR proposed is below the DCA required minimum.","")</f>
        <v/>
      </c>
      <c r="O1072" s="435" t="s">
        <v>4064</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12858</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4122</v>
      </c>
      <c r="K1074" s="2010">
        <f>L1074/12/P907</f>
        <v>6.9444444444444438</v>
      </c>
      <c r="L1074" s="2189">
        <f>'Part VI-Revenues &amp; Expenses'!L234</f>
        <v>4000</v>
      </c>
      <c r="M1074" s="2189"/>
      <c r="N1074" s="1719"/>
      <c r="O1074" s="2197" t="s">
        <v>2561</v>
      </c>
      <c r="P1074" s="2198" t="s">
        <v>3420</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6691</v>
      </c>
    </row>
    <row r="1075" spans="1:380" s="1818" customFormat="1" ht="15.75" customHeight="1">
      <c r="B1075" s="1818" t="s">
        <v>1245</v>
      </c>
      <c r="D1075" s="2192"/>
      <c r="I1075" s="1818" t="s">
        <v>1322</v>
      </c>
      <c r="L1075" s="2189">
        <f>'Part VI-Revenues &amp; Expenses'!L235</f>
        <v>5760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4800</v>
      </c>
      <c r="G1076" s="2189"/>
      <c r="I1076" s="2193" t="str">
        <f>'Part VI-Revenues &amp; Expenses'!I236</f>
        <v>Cable TV &amp; WiFi</v>
      </c>
      <c r="J1076" s="2193"/>
      <c r="K1076" s="2193"/>
      <c r="L1076" s="2189">
        <f>'Part VI-Revenues &amp; Expenses'!L236</f>
        <v>2000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4800</v>
      </c>
      <c r="G1077" s="2189"/>
      <c r="K1077" s="2191" t="s">
        <v>183</v>
      </c>
      <c r="L1077" s="2174">
        <f>SUM(L1072:L1076)</f>
        <v>25160</v>
      </c>
      <c r="M1077" s="2174"/>
      <c r="N1077" s="1719"/>
      <c r="O1077" s="1864" t="s">
        <v>3171</v>
      </c>
      <c r="P1077" s="2199" t="str">
        <f>CONCATENATE(SUM(MK889:MO889)," units x $",'DCA Underwriting Assumptions'!$Q$69," =")</f>
        <v>48 units x $250 =</v>
      </c>
      <c r="Q1077" s="2199">
        <f>SUM(MK889:MO889)*'DCA Underwriting Assumptions'!$Q$69</f>
        <v>12000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24000</v>
      </c>
      <c r="G1078" s="2189"/>
      <c r="N1078" s="1719"/>
      <c r="O1078" s="1864" t="s">
        <v>6834</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7000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6759</v>
      </c>
    </row>
    <row r="1080" spans="1:380" s="1818" customFormat="1" ht="15.6" customHeight="1">
      <c r="B1080" s="1818" t="s">
        <v>965</v>
      </c>
      <c r="D1080" s="2192"/>
      <c r="F1080" s="2189">
        <f>'Part VI-Revenues &amp; Expenses'!F240</f>
        <v>900</v>
      </c>
      <c r="G1080" s="2189"/>
      <c r="I1080" s="1818" t="s">
        <v>1327</v>
      </c>
      <c r="O1080" s="2141" t="s">
        <v>2564</v>
      </c>
      <c r="P1080" s="2200">
        <f>SUM(MF889:MJ889)+SUM(MK889:MO889)+SUM(MP889:MT889)+P965</f>
        <v>48</v>
      </c>
      <c r="Q1080" s="2200">
        <f>SUM(Q1076:Q1079)</f>
        <v>12000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7102</v>
      </c>
      <c r="L1081" s="2189">
        <f>'Part VI-Revenues &amp; Expenses'!L241</f>
        <v>28800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2500</v>
      </c>
      <c r="G1082" s="2189"/>
      <c r="I1082" s="1818" t="s">
        <v>139</v>
      </c>
      <c r="L1082" s="2189">
        <f>'Part VI-Revenues &amp; Expenses'!L242</f>
        <v>29900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Personal Property Taxes</v>
      </c>
      <c r="J1083" s="2193"/>
      <c r="K1083" s="2193"/>
      <c r="L1083" s="2189">
        <f>'Part VI-Revenues &amp; Expenses'!L243</f>
        <v>1500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6760</v>
      </c>
    </row>
    <row r="1084" spans="1:380" s="1818" customFormat="1" ht="15.6" customHeight="1">
      <c r="E1084" s="2191" t="s">
        <v>183</v>
      </c>
      <c r="F1084" s="2171">
        <f>SUM(F1076:G1083)</f>
        <v>44000</v>
      </c>
      <c r="G1084" s="2171"/>
      <c r="K1084" s="2191" t="s">
        <v>183</v>
      </c>
      <c r="L1084" s="2174">
        <f>SUM(L1080:L1083)</f>
        <v>60200</v>
      </c>
      <c r="M1084" s="2174"/>
      <c r="O1084" s="1818" t="s">
        <v>2092</v>
      </c>
      <c r="Q1084" s="2174">
        <f>Q1065+Q1071</f>
        <v>246358</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4054</v>
      </c>
      <c r="C1088" s="2191"/>
      <c r="H1088" s="2152"/>
      <c r="I1088" s="2201" t="s">
        <v>4055</v>
      </c>
      <c r="K1088" s="2182">
        <f>'Part VI-Revenues &amp; Expenses'!K248</f>
        <v>0</v>
      </c>
      <c r="L1088" s="2182"/>
      <c r="M1088" s="2105" t="s">
        <v>4092</v>
      </c>
      <c r="N1088" s="2122">
        <f>'Part VI-Revenues &amp; Expenses'!N248</f>
        <v>0</v>
      </c>
      <c r="O1088" s="1818" t="s">
        <v>4057</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4093</v>
      </c>
      <c r="C1090" s="2191"/>
      <c r="F1090" s="2152"/>
      <c r="G1090" s="2152"/>
      <c r="J1090" s="2110" t="str">
        <f>'Part VI-Revenues &amp; Expenses'!J250</f>
        <v>&lt;&lt;Select&gt;&gt;</v>
      </c>
      <c r="K1090" s="2201" t="s">
        <v>4095</v>
      </c>
      <c r="L1090" s="2110" t="str">
        <f>'Part VI-Revenues &amp; Expenses'!L250</f>
        <v>&lt;&lt;Select&gt;&gt;</v>
      </c>
      <c r="M1090" s="2108" t="s">
        <v>4096</v>
      </c>
      <c r="N1090" s="2122">
        <f>'Part VI-Revenues &amp; Expenses'!N250</f>
        <v>0</v>
      </c>
      <c r="O1090" s="1818" t="s">
        <v>4094</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6761</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3526</v>
      </c>
      <c r="B1092" s="1852" t="s">
        <v>543</v>
      </c>
      <c r="N1092" s="1852" t="s">
        <v>4053</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Please see Tab 1 in the application for support documentation for the real estate taxes and insurance.</v>
      </c>
      <c r="B1093" s="1956"/>
      <c r="C1093" s="1956"/>
      <c r="D1093" s="1956"/>
      <c r="E1093" s="1956"/>
      <c r="F1093" s="1956"/>
      <c r="G1093" s="1956"/>
      <c r="H1093" s="1956"/>
      <c r="I1093" s="1956"/>
      <c r="J1093" s="1956"/>
      <c r="K1093" s="1956"/>
      <c r="L1093" s="1956"/>
      <c r="M1093" s="1956"/>
      <c r="N1093" s="1956"/>
      <c r="O1093" s="1956"/>
      <c r="P1093" s="1956"/>
      <c r="Q1093" s="1956"/>
      <c r="R1093" s="1855" t="s">
        <v>3525</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2021-014 Dunbar Court, ,  County</v>
      </c>
      <c r="B1098" s="1924"/>
      <c r="C1098" s="1924"/>
      <c r="D1098" s="1924"/>
      <c r="E1098" s="1924"/>
      <c r="F1098" s="1924"/>
      <c r="G1098" s="1924"/>
      <c r="H1098" s="1924"/>
      <c r="I1098" s="1924"/>
      <c r="J1098" s="1924"/>
      <c r="K1098" s="1924"/>
      <c r="L1098" s="1818"/>
      <c r="M1098" s="1818"/>
      <c r="N1098" s="1818" t="str">
        <f>A1098</f>
        <v>PART SEVEN - OPERATING PRO FORMA  -  2021-014 Dunbar Court,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7029</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7103</v>
      </c>
      <c r="E1102" s="2158"/>
      <c r="F1102" s="2158"/>
      <c r="G1102" s="2204">
        <f>'Part VII-Pro Forma'!G6</f>
        <v>7500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Yes</v>
      </c>
      <c r="H1105" s="2210" t="s">
        <v>1389</v>
      </c>
      <c r="K1105" s="2211">
        <f>'Part VII-Pro Forma'!K9</f>
        <v>23040</v>
      </c>
      <c r="N1105" s="2043"/>
      <c r="O1105" s="2043"/>
      <c r="Z1105" s="1924"/>
      <c r="AA1105" s="2051">
        <v>9</v>
      </c>
    </row>
    <row r="1106" spans="1:27" s="1852" customFormat="1">
      <c r="A1106" s="1852" t="s">
        <v>1367</v>
      </c>
      <c r="B1106" s="2203">
        <v>0.02</v>
      </c>
      <c r="D1106" s="1818" t="s">
        <v>1641</v>
      </c>
      <c r="G1106" s="2209">
        <f>'Part VII-Pro Forma'!G10</f>
        <v>0</v>
      </c>
      <c r="H1106" s="2210" t="s">
        <v>2251</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340080</v>
      </c>
      <c r="C1111" s="2213">
        <f>'Part VII-Pro Forma'!C15</f>
        <v>346881.60000000003</v>
      </c>
      <c r="D1111" s="2213">
        <f>'Part VII-Pro Forma'!D15</f>
        <v>353819.23200000002</v>
      </c>
      <c r="E1111" s="2213">
        <f>'Part VII-Pro Forma'!E15</f>
        <v>360895.61663999996</v>
      </c>
      <c r="F1111" s="2213">
        <f>'Part VII-Pro Forma'!F15</f>
        <v>368113.52897280001</v>
      </c>
      <c r="G1111" s="2213">
        <f>'Part VII-Pro Forma'!G15</f>
        <v>375475.79955225601</v>
      </c>
      <c r="H1111" s="2213">
        <f>'Part VII-Pro Forma'!H15</f>
        <v>382985.31554330117</v>
      </c>
      <c r="I1111" s="2213">
        <f>'Part VII-Pro Forma'!I15</f>
        <v>390645.02185416711</v>
      </c>
      <c r="J1111" s="2213">
        <f>'Part VII-Pro Forma'!J15</f>
        <v>398457.92229125043</v>
      </c>
      <c r="K1111" s="2213">
        <f>'Part VII-Pro Forma'!K15</f>
        <v>406427.08073707548</v>
      </c>
      <c r="N1111" s="2043"/>
      <c r="O1111" s="2043"/>
      <c r="S1111" s="2114" t="s">
        <v>3562</v>
      </c>
      <c r="Z1111" s="1924" t="s">
        <v>6772</v>
      </c>
      <c r="AA1111" s="2051">
        <v>15</v>
      </c>
    </row>
    <row r="1112" spans="1:27" s="1852" customFormat="1" ht="13.35" customHeight="1">
      <c r="A1112" s="1852" t="s">
        <v>977</v>
      </c>
      <c r="B1112" s="2213">
        <f>'Part VII-Pro Forma'!B16</f>
        <v>6801.6</v>
      </c>
      <c r="C1112" s="2213">
        <f>'Part VII-Pro Forma'!C16</f>
        <v>6937.6320000000005</v>
      </c>
      <c r="D1112" s="2213">
        <f>'Part VII-Pro Forma'!D16</f>
        <v>7076.3846400000002</v>
      </c>
      <c r="E1112" s="2213">
        <f>'Part VII-Pro Forma'!E16</f>
        <v>7217.9123327999996</v>
      </c>
      <c r="F1112" s="2213">
        <f>'Part VII-Pro Forma'!F16</f>
        <v>7362.2705794560006</v>
      </c>
      <c r="G1112" s="2213">
        <f>'Part VII-Pro Forma'!G16</f>
        <v>7509.5159910451202</v>
      </c>
      <c r="H1112" s="2213">
        <f>'Part VII-Pro Forma'!H16</f>
        <v>7659.7063108660232</v>
      </c>
      <c r="I1112" s="2213">
        <f>'Part VII-Pro Forma'!I16</f>
        <v>7812.9004370833418</v>
      </c>
      <c r="J1112" s="2213">
        <f>'Part VII-Pro Forma'!J16</f>
        <v>7969.1584458250099</v>
      </c>
      <c r="K1112" s="2213">
        <f>'Part VII-Pro Forma'!K16</f>
        <v>8128.5416147415099</v>
      </c>
      <c r="N1112" s="2043"/>
      <c r="O1112" s="2043"/>
      <c r="S1112" s="2114"/>
      <c r="Z1112" s="1924" t="s">
        <v>6772</v>
      </c>
      <c r="AA1112" s="2051">
        <v>16</v>
      </c>
    </row>
    <row r="1113" spans="1:27" s="1852" customFormat="1" ht="13.35" customHeight="1">
      <c r="A1113" s="1852" t="s">
        <v>2295</v>
      </c>
      <c r="B1113" s="2213">
        <f>'Part VII-Pro Forma'!B17</f>
        <v>-24281.712</v>
      </c>
      <c r="C1113" s="2213">
        <f>'Part VII-Pro Forma'!C17</f>
        <v>-24767.346240000003</v>
      </c>
      <c r="D1113" s="2213">
        <f>'Part VII-Pro Forma'!D17</f>
        <v>-25262.693164800003</v>
      </c>
      <c r="E1113" s="2213">
        <f>'Part VII-Pro Forma'!E17</f>
        <v>-25767.947028095998</v>
      </c>
      <c r="F1113" s="2213">
        <f>'Part VII-Pro Forma'!F17</f>
        <v>-26283.305968657922</v>
      </c>
      <c r="G1113" s="2213">
        <f>'Part VII-Pro Forma'!G17</f>
        <v>-26808.972088031082</v>
      </c>
      <c r="H1113" s="2213">
        <f>'Part VII-Pro Forma'!H17</f>
        <v>-27345.151529791707</v>
      </c>
      <c r="I1113" s="2213">
        <f>'Part VII-Pro Forma'!I17</f>
        <v>-27892.054560387533</v>
      </c>
      <c r="J1113" s="2213">
        <f>'Part VII-Pro Forma'!J17</f>
        <v>-28449.895651595281</v>
      </c>
      <c r="K1113" s="2213">
        <f>'Part VII-Pro Forma'!K17</f>
        <v>-29018.893564627189</v>
      </c>
      <c r="N1113" s="2043"/>
      <c r="O1113" s="2043"/>
      <c r="Q1113" s="2114" t="s">
        <v>3439</v>
      </c>
      <c r="R1113" s="2114" t="s">
        <v>3561</v>
      </c>
      <c r="S1113" s="2114"/>
      <c r="Z1113" s="1924" t="s">
        <v>6772</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6772</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6772</v>
      </c>
      <c r="AA1115" s="1929">
        <v>19</v>
      </c>
    </row>
    <row r="1116" spans="1:27" s="1852" customFormat="1" ht="13.35" customHeight="1">
      <c r="A1116" s="1852" t="s">
        <v>4015</v>
      </c>
      <c r="B1116" s="2213">
        <f>'Part VII-Pro Forma'!B20</f>
        <v>322599.88799999998</v>
      </c>
      <c r="C1116" s="2213">
        <f>'Part VII-Pro Forma'!C20</f>
        <v>329051.88576000003</v>
      </c>
      <c r="D1116" s="2213">
        <f>'Part VII-Pro Forma'!D20</f>
        <v>335632.92347520002</v>
      </c>
      <c r="E1116" s="2213">
        <f>'Part VII-Pro Forma'!E20</f>
        <v>342345.58194470394</v>
      </c>
      <c r="F1116" s="2213">
        <f>'Part VII-Pro Forma'!F20</f>
        <v>349192.49358359806</v>
      </c>
      <c r="G1116" s="2213">
        <f>'Part VII-Pro Forma'!G20</f>
        <v>356176.34345527005</v>
      </c>
      <c r="H1116" s="2213">
        <f>'Part VII-Pro Forma'!H20</f>
        <v>363299.87032437552</v>
      </c>
      <c r="I1116" s="2213">
        <f>'Part VII-Pro Forma'!I20</f>
        <v>370565.86773086293</v>
      </c>
      <c r="J1116" s="2213">
        <f>'Part VII-Pro Forma'!J20</f>
        <v>377977.18508548016</v>
      </c>
      <c r="K1116" s="2213">
        <f>'Part VII-Pro Forma'!K20</f>
        <v>385536.72878718976</v>
      </c>
      <c r="N1116" s="2043"/>
      <c r="O1116" s="2043"/>
      <c r="Z1116" s="1924" t="s">
        <v>6772</v>
      </c>
      <c r="AA1116" s="2051">
        <v>20</v>
      </c>
    </row>
    <row r="1117" spans="1:27" s="1852" customFormat="1" ht="13.35" customHeight="1">
      <c r="A1117" s="1852" t="s">
        <v>585</v>
      </c>
      <c r="B1117" s="2213">
        <f>'Part VII-Pro Forma'!B21</f>
        <v>-211318</v>
      </c>
      <c r="C1117" s="2213">
        <f>'Part VII-Pro Forma'!C21</f>
        <v>-217657.54</v>
      </c>
      <c r="D1117" s="2213">
        <f>'Part VII-Pro Forma'!D21</f>
        <v>-224187.26619999998</v>
      </c>
      <c r="E1117" s="2213">
        <f>'Part VII-Pro Forma'!E21</f>
        <v>-230912.88418600001</v>
      </c>
      <c r="F1117" s="2213">
        <f>'Part VII-Pro Forma'!F21</f>
        <v>-237840.27071157997</v>
      </c>
      <c r="G1117" s="2213">
        <f>'Part VII-Pro Forma'!G21</f>
        <v>-244975.47883292736</v>
      </c>
      <c r="H1117" s="2213">
        <f>'Part VII-Pro Forma'!H21</f>
        <v>-252324.7431979152</v>
      </c>
      <c r="I1117" s="2213">
        <f>'Part VII-Pro Forma'!I21</f>
        <v>-259894.48549385267</v>
      </c>
      <c r="J1117" s="2213">
        <f>'Part VII-Pro Forma'!J21</f>
        <v>-267691.32005866821</v>
      </c>
      <c r="K1117" s="2213">
        <f>'Part VII-Pro Forma'!K21</f>
        <v>-275722.05966042826</v>
      </c>
      <c r="N1117" s="2043"/>
      <c r="O1117" s="2043"/>
      <c r="Q1117" s="2051">
        <v>1</v>
      </c>
      <c r="R1117" s="2140">
        <f>-B1128</f>
        <v>15380</v>
      </c>
      <c r="S1117" s="2140">
        <f>B1129+R1117</f>
        <v>15380.219148314645</v>
      </c>
      <c r="Z1117" s="1924" t="s">
        <v>6772</v>
      </c>
      <c r="AA1117" s="2051">
        <v>21</v>
      </c>
    </row>
    <row r="1118" spans="1:27" s="1852" customFormat="1" ht="13.35" customHeight="1">
      <c r="A1118" s="1852" t="s">
        <v>1075</v>
      </c>
      <c r="B1118" s="2213">
        <f>'Part VII-Pro Forma'!B22</f>
        <v>-23040</v>
      </c>
      <c r="C1118" s="2213">
        <f>'Part VII-Pro Forma'!C22</f>
        <v>-23731</v>
      </c>
      <c r="D1118" s="2213">
        <f>'Part VII-Pro Forma'!D22</f>
        <v>-24443</v>
      </c>
      <c r="E1118" s="2213">
        <f>'Part VII-Pro Forma'!E22</f>
        <v>-25176</v>
      </c>
      <c r="F1118" s="2213">
        <f>'Part VII-Pro Forma'!F22</f>
        <v>-25932</v>
      </c>
      <c r="G1118" s="2213">
        <f>'Part VII-Pro Forma'!G22</f>
        <v>-26710</v>
      </c>
      <c r="H1118" s="2213">
        <f>'Part VII-Pro Forma'!H22</f>
        <v>-27511</v>
      </c>
      <c r="I1118" s="2213">
        <f>'Part VII-Pro Forma'!I22</f>
        <v>-28336</v>
      </c>
      <c r="J1118" s="2213">
        <f>'Part VII-Pro Forma'!J22</f>
        <v>-29186</v>
      </c>
      <c r="K1118" s="2213">
        <f>'Part VII-Pro Forma'!K22</f>
        <v>-30062</v>
      </c>
      <c r="N1118" s="2043"/>
      <c r="O1118" s="2043"/>
      <c r="Q1118" s="2051">
        <v>2</v>
      </c>
      <c r="R1118" s="2140">
        <f>-SUM(B1128:C1128)</f>
        <v>17375</v>
      </c>
      <c r="S1118" s="2140">
        <f>SUM(B1129:C1129)+R1118</f>
        <v>29821.896056629339</v>
      </c>
      <c r="Z1118" s="1924" t="s">
        <v>6772</v>
      </c>
      <c r="AA1118" s="2051">
        <v>22</v>
      </c>
    </row>
    <row r="1119" spans="1:27" s="1852" customFormat="1" ht="13.35" customHeight="1">
      <c r="A1119" s="1852" t="s">
        <v>1156</v>
      </c>
      <c r="B1119" s="2213">
        <f>'Part VII-Pro Forma'!B23</f>
        <v>-12000</v>
      </c>
      <c r="C1119" s="2213">
        <f>'Part VII-Pro Forma'!C23</f>
        <v>-12360</v>
      </c>
      <c r="D1119" s="2213">
        <f>'Part VII-Pro Forma'!D23</f>
        <v>-12730.8</v>
      </c>
      <c r="E1119" s="2213">
        <f>'Part VII-Pro Forma'!E23</f>
        <v>-13112.724</v>
      </c>
      <c r="F1119" s="2213">
        <f>'Part VII-Pro Forma'!F23</f>
        <v>-13506.10572</v>
      </c>
      <c r="G1119" s="2213">
        <f>'Part VII-Pro Forma'!G23</f>
        <v>-13911.288891599997</v>
      </c>
      <c r="H1119" s="2213">
        <f>'Part VII-Pro Forma'!H23</f>
        <v>-14328.627558347998</v>
      </c>
      <c r="I1119" s="2213">
        <f>'Part VII-Pro Forma'!I23</f>
        <v>-14758.48638509844</v>
      </c>
      <c r="J1119" s="2213">
        <f>'Part VII-Pro Forma'!J23</f>
        <v>-15201.240976651392</v>
      </c>
      <c r="K1119" s="2213">
        <f>'Part VII-Pro Forma'!K23</f>
        <v>-15657.278205950934</v>
      </c>
      <c r="N1119" s="2043"/>
      <c r="O1119" s="2043"/>
      <c r="Q1119" s="2051">
        <v>3</v>
      </c>
      <c r="R1119" s="2140">
        <f>-SUM(B1128:D1128)</f>
        <v>17375</v>
      </c>
      <c r="S1119" s="2140">
        <f>SUM(B1129:D1129)+R1119</f>
        <v>43232.08448014404</v>
      </c>
      <c r="Z1119" s="1924" t="s">
        <v>6772</v>
      </c>
      <c r="AA1119" s="2051">
        <v>23</v>
      </c>
    </row>
    <row r="1120" spans="1:27" s="1852" customFormat="1" ht="13.35" customHeight="1">
      <c r="A1120" s="1852" t="s">
        <v>4014</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17375</v>
      </c>
      <c r="S1120" s="2140">
        <f>SUM(B1129:E1129)+R1120</f>
        <v>55514.389387162635</v>
      </c>
      <c r="Z1120" s="1924" t="s">
        <v>6772</v>
      </c>
      <c r="AA1120" s="1929">
        <v>24</v>
      </c>
    </row>
    <row r="1121" spans="1:27" s="1852" customFormat="1" ht="13.35" customHeight="1">
      <c r="A1121" s="1852" t="s">
        <v>1157</v>
      </c>
      <c r="B1121" s="2213">
        <f>'Part VII-Pro Forma'!B25</f>
        <v>76241.887999999977</v>
      </c>
      <c r="C1121" s="2213">
        <f>'Part VII-Pro Forma'!C25</f>
        <v>75303.345760000026</v>
      </c>
      <c r="D1121" s="2213">
        <f>'Part VII-Pro Forma'!D25</f>
        <v>74271.857275200033</v>
      </c>
      <c r="E1121" s="2213">
        <f>'Part VII-Pro Forma'!E25</f>
        <v>73143.973758703927</v>
      </c>
      <c r="F1121" s="2213">
        <f>'Part VII-Pro Forma'!F25</f>
        <v>71914.117152018094</v>
      </c>
      <c r="G1121" s="2213">
        <f>'Part VII-Pro Forma'!G25</f>
        <v>70579.575730742697</v>
      </c>
      <c r="H1121" s="2213">
        <f>'Part VII-Pro Forma'!H25</f>
        <v>69135.499568112311</v>
      </c>
      <c r="I1121" s="2213">
        <f>'Part VII-Pro Forma'!I25</f>
        <v>67576.895851911817</v>
      </c>
      <c r="J1121" s="2213">
        <f>'Part VII-Pro Forma'!J25</f>
        <v>65898.624050160564</v>
      </c>
      <c r="K1121" s="2213">
        <f>'Part VII-Pro Forma'!K25</f>
        <v>64095.390920810562</v>
      </c>
      <c r="N1121" s="2043"/>
      <c r="O1121" s="2043"/>
      <c r="Q1121" s="2051">
        <v>5</v>
      </c>
      <c r="R1121" s="2140">
        <f>-SUM(B1128:F1128)</f>
        <v>17375</v>
      </c>
      <c r="S1121" s="2140">
        <f>SUM(B1129:F1129)+R1121</f>
        <v>66566.837687495397</v>
      </c>
      <c r="Z1121" s="1924" t="s">
        <v>6772</v>
      </c>
      <c r="AA1121" s="2051">
        <v>25</v>
      </c>
    </row>
    <row r="1122" spans="1:27" s="1852" customFormat="1" ht="13.35" customHeight="1">
      <c r="A1122" s="1852" t="s">
        <v>1525</v>
      </c>
      <c r="B1122" s="2214">
        <f>'Part VII-Pro Forma'!B26</f>
        <v>-53361.668851685332</v>
      </c>
      <c r="C1122" s="2214">
        <f>'Part VII-Pro Forma'!C26</f>
        <v>-53361.668851685332</v>
      </c>
      <c r="D1122" s="2214">
        <f>'Part VII-Pro Forma'!D26</f>
        <v>-53361.668851685332</v>
      </c>
      <c r="E1122" s="2214">
        <f>'Part VII-Pro Forma'!E26</f>
        <v>-53361.668851685332</v>
      </c>
      <c r="F1122" s="2214">
        <f>'Part VII-Pro Forma'!F26</f>
        <v>-53361.668851685332</v>
      </c>
      <c r="G1122" s="2214">
        <f>'Part VII-Pro Forma'!G26</f>
        <v>-53361.668851685332</v>
      </c>
      <c r="H1122" s="2214">
        <f>'Part VII-Pro Forma'!H26</f>
        <v>-53361.668851685332</v>
      </c>
      <c r="I1122" s="2214">
        <f>'Part VII-Pro Forma'!I26</f>
        <v>-53361.668851685332</v>
      </c>
      <c r="J1122" s="2214">
        <f>'Part VII-Pro Forma'!J26</f>
        <v>-53361.668851685332</v>
      </c>
      <c r="K1122" s="2214">
        <f>'Part VII-Pro Forma'!K26</f>
        <v>-53361.668851685332</v>
      </c>
      <c r="N1122" s="2043"/>
      <c r="O1122" s="2043"/>
      <c r="Q1122" s="2051">
        <v>6</v>
      </c>
      <c r="R1122" s="2140">
        <f>-SUM(B1128:G1128)</f>
        <v>17375</v>
      </c>
      <c r="S1122" s="2140">
        <f>SUM(B1129:G1129)+R1122</f>
        <v>76284.744566552763</v>
      </c>
      <c r="Z1122" s="1924" t="s">
        <v>6772</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17375</v>
      </c>
      <c r="S1123" s="2140">
        <f>SUM(B1129:H1129)+R1123</f>
        <v>84558.575282979742</v>
      </c>
      <c r="Z1123" s="1924" t="s">
        <v>6772</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17375</v>
      </c>
      <c r="S1124" s="2140">
        <f>SUM(B1129:I1129)+R1124</f>
        <v>91273.802283206227</v>
      </c>
      <c r="Z1124" s="1924" t="s">
        <v>6772</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17375</v>
      </c>
      <c r="S1125" s="2140">
        <f>SUM(B1129:J1129)+R1125</f>
        <v>96310.757481681459</v>
      </c>
      <c r="Z1125" s="1924" t="s">
        <v>6772</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17375</v>
      </c>
      <c r="S1126" s="2140">
        <f>SUM(B1129:K1129)+R1126</f>
        <v>99544.479550806689</v>
      </c>
      <c r="Z1126" s="1924" t="s">
        <v>6772</v>
      </c>
      <c r="AA1126" s="2051">
        <v>30</v>
      </c>
    </row>
    <row r="1127" spans="1:27" s="1852" customFormat="1" ht="13.35" customHeight="1">
      <c r="A1127" s="1852" t="s">
        <v>1121</v>
      </c>
      <c r="B1127" s="2214">
        <f>'Part VII-Pro Forma'!B31</f>
        <v>-7500</v>
      </c>
      <c r="C1127" s="2214">
        <f>'Part VII-Pro Forma'!C31</f>
        <v>-7500</v>
      </c>
      <c r="D1127" s="2214">
        <f>'Part VII-Pro Forma'!D31</f>
        <v>-7500</v>
      </c>
      <c r="E1127" s="2214">
        <f>'Part VII-Pro Forma'!E31</f>
        <v>-7500</v>
      </c>
      <c r="F1127" s="2214">
        <f>'Part VII-Pro Forma'!F31</f>
        <v>-7500</v>
      </c>
      <c r="G1127" s="2214">
        <f>'Part VII-Pro Forma'!G31</f>
        <v>-7500</v>
      </c>
      <c r="H1127" s="2214">
        <f>'Part VII-Pro Forma'!H31</f>
        <v>-7500</v>
      </c>
      <c r="I1127" s="2214">
        <f>'Part VII-Pro Forma'!I31</f>
        <v>-7500</v>
      </c>
      <c r="J1127" s="2214">
        <f>'Part VII-Pro Forma'!J31</f>
        <v>-7500</v>
      </c>
      <c r="K1127" s="2214">
        <f>'Part VII-Pro Forma'!K31</f>
        <v>-7500</v>
      </c>
      <c r="N1127" s="2043"/>
      <c r="O1127" s="2043"/>
      <c r="Q1127" s="2051">
        <v>11</v>
      </c>
      <c r="R1127" s="2140">
        <f>-SUM(B1128:K1128)-B1160</f>
        <v>17375</v>
      </c>
      <c r="S1127" s="2140">
        <f>SUM(B1129:K1129)+B1161+R1127</f>
        <v>100845.55605968433</v>
      </c>
      <c r="Z1127" s="1924" t="s">
        <v>6772</v>
      </c>
      <c r="AA1127" s="2051">
        <v>31</v>
      </c>
    </row>
    <row r="1128" spans="1:27" s="1852" customFormat="1" ht="13.35" customHeight="1">
      <c r="A1128" s="1852" t="s">
        <v>3510</v>
      </c>
      <c r="B1128" s="2214">
        <f>'Part VII-Pro Forma'!B32</f>
        <v>-15380</v>
      </c>
      <c r="C1128" s="2214">
        <f>'Part VII-Pro Forma'!C32</f>
        <v>-1995</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17375</v>
      </c>
      <c r="S1128" s="2140">
        <f>SUM(B1129:K1129) + SUM(B1161:C1161)+R1128</f>
        <v>100078.96029574951</v>
      </c>
      <c r="Z1128" s="1924" t="s">
        <v>6772</v>
      </c>
      <c r="AA1128" s="2051">
        <v>32</v>
      </c>
    </row>
    <row r="1129" spans="1:27" s="1852" customFormat="1" ht="13.35" customHeight="1">
      <c r="A1129" s="1852" t="s">
        <v>1122</v>
      </c>
      <c r="B1129" s="2213">
        <f>'Part VII-Pro Forma'!B33</f>
        <v>0.21914831464528106</v>
      </c>
      <c r="C1129" s="2213">
        <f>'Part VII-Pro Forma'!C33</f>
        <v>12446.676908314694</v>
      </c>
      <c r="D1129" s="2213">
        <f>'Part VII-Pro Forma'!D33</f>
        <v>13410.188423514701</v>
      </c>
      <c r="E1129" s="2213">
        <f>'Part VII-Pro Forma'!E33</f>
        <v>12282.304907018595</v>
      </c>
      <c r="F1129" s="2213">
        <f>'Part VII-Pro Forma'!F33</f>
        <v>11052.448300332762</v>
      </c>
      <c r="G1129" s="2213">
        <f>'Part VII-Pro Forma'!G33</f>
        <v>9717.9068790573656</v>
      </c>
      <c r="H1129" s="2213">
        <f>'Part VII-Pro Forma'!H33</f>
        <v>8273.8307164269791</v>
      </c>
      <c r="I1129" s="2213">
        <f>'Part VII-Pro Forma'!I33</f>
        <v>6715.227000226485</v>
      </c>
      <c r="J1129" s="2213">
        <f>'Part VII-Pro Forma'!J33</f>
        <v>5036.9551984752325</v>
      </c>
      <c r="K1129" s="2213">
        <f>'Part VII-Pro Forma'!K33</f>
        <v>3233.7220691252296</v>
      </c>
      <c r="N1129" s="2043"/>
      <c r="O1129" s="2043"/>
      <c r="Q1129" s="2051">
        <v>13</v>
      </c>
      <c r="R1129" s="2140">
        <f>-SUM(B1128:K1128) - SUM(B1160:D1160)</f>
        <v>17375</v>
      </c>
      <c r="S1129" s="2140">
        <f>SUM(B1129:K1129) + SUM(B1161:D1161)+R1129</f>
        <v>97103.882598145341</v>
      </c>
      <c r="Z1129" s="1924" t="s">
        <v>6772</v>
      </c>
      <c r="AA1129" s="1929">
        <v>33</v>
      </c>
    </row>
    <row r="1130" spans="1:27" s="1852" customFormat="1" ht="13.35" customHeight="1">
      <c r="A1130" s="1852" t="str">
        <f>IF('Part III-Sources of Funds'!$E$40 = "Neither", "", "DCR Mortgage A")</f>
        <v>DCR Mortgage A</v>
      </c>
      <c r="B1130" s="2215">
        <f>'Part VII-Pro Forma'!B34</f>
        <v>1.4287763040527923</v>
      </c>
      <c r="C1130" s="2215">
        <f>'Part VII-Pro Forma'!C34</f>
        <v>1.4111879815696902</v>
      </c>
      <c r="D1130" s="2215">
        <f>'Part VII-Pro Forma'!D34</f>
        <v>1.3918578424080583</v>
      </c>
      <c r="E1130" s="2215">
        <f>'Part VII-Pro Forma'!E34</f>
        <v>1.3707212561511521</v>
      </c>
      <c r="F1130" s="2215">
        <f>'Part VII-Pro Forma'!F34</f>
        <v>1.347673689739687</v>
      </c>
      <c r="G1130" s="2215">
        <f>'Part VII-Pro Forma'!G34</f>
        <v>1.3226643253402217</v>
      </c>
      <c r="H1130" s="2215">
        <f>'Part VII-Pro Forma'!H34</f>
        <v>1.2956022751137926</v>
      </c>
      <c r="I1130" s="2215">
        <f>'Part VII-Pro Forma'!I34</f>
        <v>1.2663939735418812</v>
      </c>
      <c r="J1130" s="2215">
        <f>'Part VII-Pro Forma'!J34</f>
        <v>1.2349430868311249</v>
      </c>
      <c r="K1130" s="2215">
        <f>'Part VII-Pro Forma'!K34</f>
        <v>1.2011504193948428</v>
      </c>
      <c r="N1130" s="2043"/>
      <c r="O1130" s="2043"/>
      <c r="Q1130" s="2051">
        <v>14</v>
      </c>
      <c r="R1130" s="2140">
        <f>-SUM(B1128:K1128) - SUM(B1160:E1160)</f>
        <v>17375</v>
      </c>
      <c r="S1130" s="2140">
        <f>SUM(B1129:K1129) + SUM(B1161:E1161)+R1130</f>
        <v>91774.556026335631</v>
      </c>
      <c r="Z1130" s="1924" t="s">
        <v>6772</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17375</v>
      </c>
      <c r="S1131" s="2140">
        <f>SUM(B1129:K1129) + SUM(B1161:F1161)+R1131</f>
        <v>83938.076181917713</v>
      </c>
      <c r="Z1131" s="1924" t="s">
        <v>6772</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17375</v>
      </c>
      <c r="S1132" s="2140">
        <f>SUM(B1129:K1129) + SUM(B1161:G1161)+R1132</f>
        <v>73435.214995893068</v>
      </c>
      <c r="Z1132" s="1924" t="s">
        <v>6772</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17375</v>
      </c>
      <c r="S1133" s="2140">
        <f>SUM(B1129:K1129) + SUM(B1161:H1161)+R1133</f>
        <v>60102.228287777289</v>
      </c>
      <c r="Z1133" s="1924" t="s">
        <v>6772</v>
      </c>
      <c r="AA1133" s="2051">
        <v>37</v>
      </c>
    </row>
    <row r="1134" spans="1:27" s="1852" customFormat="1" ht="13.35" customHeight="1">
      <c r="A1134" s="1852" t="s">
        <v>3344</v>
      </c>
      <c r="B1134" s="2215">
        <f>'Part VII-Pro Forma'!B38</f>
        <v>1.4287763040527923</v>
      </c>
      <c r="C1134" s="2215">
        <f>'Part VII-Pro Forma'!C38</f>
        <v>1.4111879815696902</v>
      </c>
      <c r="D1134" s="2215">
        <f>'Part VII-Pro Forma'!D38</f>
        <v>1.3918578424080583</v>
      </c>
      <c r="E1134" s="2215">
        <f>'Part VII-Pro Forma'!E38</f>
        <v>1.3707212561511521</v>
      </c>
      <c r="F1134" s="2215">
        <f>'Part VII-Pro Forma'!F38</f>
        <v>1.347673689739687</v>
      </c>
      <c r="G1134" s="2215">
        <f>'Part VII-Pro Forma'!G38</f>
        <v>1.3226643253402217</v>
      </c>
      <c r="H1134" s="2215">
        <f>'Part VII-Pro Forma'!H38</f>
        <v>1.2956022751137926</v>
      </c>
      <c r="I1134" s="2215">
        <f>'Part VII-Pro Forma'!I38</f>
        <v>1.2663939735418812</v>
      </c>
      <c r="J1134" s="2215">
        <f>'Part VII-Pro Forma'!J38</f>
        <v>1.2349430868311249</v>
      </c>
      <c r="K1134" s="2215">
        <f>'Part VII-Pro Forma'!K38</f>
        <v>1.2011504193948428</v>
      </c>
      <c r="N1134" s="2043"/>
      <c r="O1134" s="2043"/>
      <c r="Q1134" s="2051">
        <v>18</v>
      </c>
      <c r="R1134" s="2140">
        <f>-SUM(B1128:K1128) - SUM(B1160:I1160)</f>
        <v>17375</v>
      </c>
      <c r="S1134" s="2140">
        <f>SUM(B1129:K1129) + SUM(B1161:I1161)+R1134</f>
        <v>43765.656896866269</v>
      </c>
      <c r="Z1134" s="1924" t="s">
        <v>6772</v>
      </c>
      <c r="AA1134" s="2051">
        <v>38</v>
      </c>
    </row>
    <row r="1135" spans="1:27" s="1852" customFormat="1" ht="13.35" customHeight="1">
      <c r="A1135" s="1852" t="s">
        <v>740</v>
      </c>
      <c r="B1135" s="2215">
        <f>'Part VII-Pro Forma'!B39</f>
        <v>1.3094759983438735</v>
      </c>
      <c r="C1135" s="2215">
        <f>'Part VII-Pro Forma'!C39</f>
        <v>1.2967636612214597</v>
      </c>
      <c r="D1135" s="2215">
        <f>'Part VII-Pro Forma'!D39</f>
        <v>1.2841733788243939</v>
      </c>
      <c r="E1135" s="2215">
        <f>'Part VII-Pro Forma'!E39</f>
        <v>1.2717070460744291</v>
      </c>
      <c r="F1135" s="2215">
        <f>'Part VII-Pro Forma'!F39</f>
        <v>1.2593571055828918</v>
      </c>
      <c r="G1135" s="2215">
        <f>'Part VII-Pro Forma'!G39</f>
        <v>1.2471301628974327</v>
      </c>
      <c r="H1135" s="2215">
        <f>'Part VII-Pro Forma'!H39</f>
        <v>1.2350233625859337</v>
      </c>
      <c r="I1135" s="2215">
        <f>'Part VII-Pro Forma'!I39</f>
        <v>1.2230341765670267</v>
      </c>
      <c r="J1135" s="2215">
        <f>'Part VII-Pro Forma'!J39</f>
        <v>1.2111603688236132</v>
      </c>
      <c r="K1135" s="2215">
        <f>'Part VII-Pro Forma'!K39</f>
        <v>1.1993999631355894</v>
      </c>
      <c r="N1135" s="2043"/>
      <c r="O1135" s="2043"/>
      <c r="Q1135" s="2051">
        <v>19</v>
      </c>
      <c r="R1135" s="2140">
        <f>-SUM(B1128:K1128) - SUM(B1160:J1160)</f>
        <v>17375</v>
      </c>
      <c r="S1135" s="2140">
        <f>SUM(B1129:K1129) + SUM(B1161:J1161)+R1135</f>
        <v>24248.121179734066</v>
      </c>
      <c r="Z1135" s="1924" t="s">
        <v>6772</v>
      </c>
      <c r="AA1135" s="2051">
        <v>39</v>
      </c>
    </row>
    <row r="1136" spans="1:27" s="1852" customFormat="1" ht="13.35" customHeight="1">
      <c r="A1136" s="1852" t="s">
        <v>2493</v>
      </c>
      <c r="B1136" s="2214">
        <f>'Part VII-Pro Forma'!B40</f>
        <v>436485.17085624661</v>
      </c>
      <c r="C1136" s="2214">
        <f>'Part VII-Pro Forma'!C40</f>
        <v>392029.9361655105</v>
      </c>
      <c r="D1136" s="2214">
        <f>'Part VII-Pro Forma'!D40</f>
        <v>346613.97268143634</v>
      </c>
      <c r="E1136" s="2214">
        <f>'Part VII-Pro Forma'!E40</f>
        <v>300216.51794892142</v>
      </c>
      <c r="F1136" s="2214">
        <f>'Part VII-Pro Forma'!F40</f>
        <v>252816.36081230891</v>
      </c>
      <c r="G1136" s="2214">
        <f>'Part VII-Pro Forma'!G40</f>
        <v>204391.83171845236</v>
      </c>
      <c r="H1136" s="2214">
        <f>'Part VII-Pro Forma'!H40</f>
        <v>154920.7928102185</v>
      </c>
      <c r="I1136" s="2214">
        <f>'Part VII-Pro Forma'!I40</f>
        <v>104380.62780589881</v>
      </c>
      <c r="J1136" s="2214">
        <f>'Part VII-Pro Forma'!J40</f>
        <v>52748.231659903853</v>
      </c>
      <c r="K1136" s="2214">
        <f>'Part VII-Pro Forma'!K40</f>
        <v>1.3169483281672001E-8</v>
      </c>
      <c r="N1136" s="2043"/>
      <c r="O1136" s="2043"/>
      <c r="Q1136" s="2051">
        <v>20</v>
      </c>
      <c r="R1136" s="2140">
        <f>-SUM(B1128:K1128) - SUM(B1160:K1160)</f>
        <v>17375</v>
      </c>
      <c r="S1136" s="2140">
        <f>SUM(B1129:K1129) + SUM(B1161:K1161)+R1136</f>
        <v>1363.1086615931999</v>
      </c>
      <c r="Z1136" s="1924" t="s">
        <v>6772</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6772</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6772</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6772</v>
      </c>
      <c r="AA1139" s="2051">
        <v>43</v>
      </c>
    </row>
    <row r="1140" spans="1:27" s="1852" customFormat="1" ht="13.35" customHeight="1">
      <c r="A1140" s="1852" t="s">
        <v>3511</v>
      </c>
      <c r="B1140" s="2214">
        <f>'Part VII-Pro Forma'!B44</f>
        <v>1995</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6772</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414555.62235181697</v>
      </c>
      <c r="C1143" s="2213">
        <f>'Part VII-Pro Forma'!C47</f>
        <v>422846.73479885329</v>
      </c>
      <c r="D1143" s="2213">
        <f>'Part VII-Pro Forma'!D47</f>
        <v>431303.66949483042</v>
      </c>
      <c r="E1143" s="2213">
        <f>'Part VII-Pro Forma'!E47</f>
        <v>439929.74288472696</v>
      </c>
      <c r="F1143" s="2213">
        <f>'Part VII-Pro Forma'!F47</f>
        <v>448728.33774242154</v>
      </c>
      <c r="G1143" s="2213">
        <f>'Part VII-Pro Forma'!G47</f>
        <v>457702.90449726989</v>
      </c>
      <c r="H1143" s="2213">
        <f>'Part VII-Pro Forma'!H47</f>
        <v>466856.96258721536</v>
      </c>
      <c r="I1143" s="2213">
        <f>'Part VII-Pro Forma'!I47</f>
        <v>476194.10183895967</v>
      </c>
      <c r="J1143" s="2213">
        <f>'Part VII-Pro Forma'!J47</f>
        <v>485717.98387573881</v>
      </c>
      <c r="K1143" s="2213">
        <f>'Part VII-Pro Forma'!K47</f>
        <v>495432.34355325357</v>
      </c>
      <c r="N1143" s="2043"/>
      <c r="O1143" s="2043"/>
      <c r="Z1143" s="1924" t="s">
        <v>6773</v>
      </c>
      <c r="AA1143" s="1929">
        <v>47</v>
      </c>
    </row>
    <row r="1144" spans="1:27" s="1852" customFormat="1" ht="13.35" customHeight="1">
      <c r="A1144" s="1852" t="s">
        <v>977</v>
      </c>
      <c r="B1144" s="2213">
        <f>'Part VII-Pro Forma'!B48</f>
        <v>8291.1124470363411</v>
      </c>
      <c r="C1144" s="2213">
        <f>'Part VII-Pro Forma'!C48</f>
        <v>8456.9346959770664</v>
      </c>
      <c r="D1144" s="2213">
        <f>'Part VII-Pro Forma'!D48</f>
        <v>8626.0733898966082</v>
      </c>
      <c r="E1144" s="2213">
        <f>'Part VII-Pro Forma'!E48</f>
        <v>8798.5948576945393</v>
      </c>
      <c r="F1144" s="2213">
        <f>'Part VII-Pro Forma'!F48</f>
        <v>8974.5667548484325</v>
      </c>
      <c r="G1144" s="2213">
        <f>'Part VII-Pro Forma'!G48</f>
        <v>9154.058089945398</v>
      </c>
      <c r="H1144" s="2213">
        <f>'Part VII-Pro Forma'!H48</f>
        <v>9337.1392517443073</v>
      </c>
      <c r="I1144" s="2213">
        <f>'Part VII-Pro Forma'!I48</f>
        <v>9523.8820367791941</v>
      </c>
      <c r="J1144" s="2213">
        <f>'Part VII-Pro Forma'!J48</f>
        <v>9714.3596775147762</v>
      </c>
      <c r="K1144" s="2213">
        <f>'Part VII-Pro Forma'!K48</f>
        <v>9908.6468710650715</v>
      </c>
      <c r="N1144" s="2043"/>
      <c r="O1144" s="2043"/>
      <c r="Z1144" s="1924" t="s">
        <v>6773</v>
      </c>
      <c r="AA1144" s="2051">
        <v>48</v>
      </c>
    </row>
    <row r="1145" spans="1:27" s="1852" customFormat="1" ht="13.35" customHeight="1">
      <c r="A1145" s="1852" t="s">
        <v>2295</v>
      </c>
      <c r="B1145" s="2213">
        <f>'Part VII-Pro Forma'!B49</f>
        <v>-29599.271435919734</v>
      </c>
      <c r="C1145" s="2213">
        <f>'Part VII-Pro Forma'!C49</f>
        <v>-30191.25686463813</v>
      </c>
      <c r="D1145" s="2213">
        <f>'Part VII-Pro Forma'!D49</f>
        <v>-30795.082001930896</v>
      </c>
      <c r="E1145" s="2213">
        <f>'Part VII-Pro Forma'!E49</f>
        <v>-31410.983641969506</v>
      </c>
      <c r="F1145" s="2213">
        <f>'Part VII-Pro Forma'!F49</f>
        <v>-32039.203314808899</v>
      </c>
      <c r="G1145" s="2213">
        <f>'Part VII-Pro Forma'!G49</f>
        <v>-32679.987381105075</v>
      </c>
      <c r="H1145" s="2213">
        <f>'Part VII-Pro Forma'!H49</f>
        <v>-33333.58712872718</v>
      </c>
      <c r="I1145" s="2213">
        <f>'Part VII-Pro Forma'!I49</f>
        <v>-34000.258871301725</v>
      </c>
      <c r="J1145" s="2213">
        <f>'Part VII-Pro Forma'!J49</f>
        <v>-34680.264048727753</v>
      </c>
      <c r="K1145" s="2213">
        <f>'Part VII-Pro Forma'!K49</f>
        <v>-35373.869329702306</v>
      </c>
      <c r="N1145" s="2043"/>
      <c r="O1145" s="2043"/>
      <c r="Z1145" s="1924" t="s">
        <v>6773</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6773</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6773</v>
      </c>
      <c r="AA1147" s="2051">
        <v>51</v>
      </c>
    </row>
    <row r="1148" spans="1:27" s="1852" customFormat="1" ht="13.35" customHeight="1">
      <c r="A1148" s="1852" t="s">
        <v>4015</v>
      </c>
      <c r="B1148" s="2213">
        <f>'Part VII-Pro Forma'!B52</f>
        <v>393247.46336293354</v>
      </c>
      <c r="C1148" s="2213">
        <f>'Part VII-Pro Forma'!C52</f>
        <v>401112.41263019224</v>
      </c>
      <c r="D1148" s="2213">
        <f>'Part VII-Pro Forma'!D52</f>
        <v>409134.6608827961</v>
      </c>
      <c r="E1148" s="2213">
        <f>'Part VII-Pro Forma'!E52</f>
        <v>417317.35410045198</v>
      </c>
      <c r="F1148" s="2213">
        <f>'Part VII-Pro Forma'!F52</f>
        <v>425663.70118246105</v>
      </c>
      <c r="G1148" s="2213">
        <f>'Part VII-Pro Forma'!G52</f>
        <v>434176.97520611022</v>
      </c>
      <c r="H1148" s="2213">
        <f>'Part VII-Pro Forma'!H52</f>
        <v>442860.5147102325</v>
      </c>
      <c r="I1148" s="2213">
        <f>'Part VII-Pro Forma'!I52</f>
        <v>451717.72500443715</v>
      </c>
      <c r="J1148" s="2213">
        <f>'Part VII-Pro Forma'!J52</f>
        <v>460752.07950452581</v>
      </c>
      <c r="K1148" s="2213">
        <f>'Part VII-Pro Forma'!K52</f>
        <v>469967.12109461636</v>
      </c>
      <c r="N1148" s="2043"/>
      <c r="O1148" s="2043"/>
      <c r="Z1148" s="1924" t="s">
        <v>6773</v>
      </c>
      <c r="AA1148" s="2051">
        <v>52</v>
      </c>
    </row>
    <row r="1149" spans="1:27" s="1852" customFormat="1" ht="13.35" customHeight="1">
      <c r="A1149" s="1852" t="s">
        <v>585</v>
      </c>
      <c r="B1149" s="2213">
        <f>'Part VII-Pro Forma'!B53</f>
        <v>-283993.72145024111</v>
      </c>
      <c r="C1149" s="2213">
        <f>'Part VII-Pro Forma'!C53</f>
        <v>-292513.53309374838</v>
      </c>
      <c r="D1149" s="2213">
        <f>'Part VII-Pro Forma'!D53</f>
        <v>-301288.9390865608</v>
      </c>
      <c r="E1149" s="2213">
        <f>'Part VII-Pro Forma'!E53</f>
        <v>-310327.60725915758</v>
      </c>
      <c r="F1149" s="2213">
        <f>'Part VII-Pro Forma'!F53</f>
        <v>-319637.43547693233</v>
      </c>
      <c r="G1149" s="2213">
        <f>'Part VII-Pro Forma'!G53</f>
        <v>-329226.55854124035</v>
      </c>
      <c r="H1149" s="2213">
        <f>'Part VII-Pro Forma'!H53</f>
        <v>-339103.35529747751</v>
      </c>
      <c r="I1149" s="2213">
        <f>'Part VII-Pro Forma'!I53</f>
        <v>-349276.45595640183</v>
      </c>
      <c r="J1149" s="2213">
        <f>'Part VII-Pro Forma'!J53</f>
        <v>-359754.74963509385</v>
      </c>
      <c r="K1149" s="2213">
        <f>'Part VII-Pro Forma'!K53</f>
        <v>-370547.39212414669</v>
      </c>
      <c r="N1149" s="2043"/>
      <c r="O1149" s="2043"/>
      <c r="Z1149" s="1924" t="s">
        <v>6773</v>
      </c>
      <c r="AA1149" s="2051">
        <v>53</v>
      </c>
    </row>
    <row r="1150" spans="1:27" s="1852" customFormat="1" ht="13.35" customHeight="1">
      <c r="A1150" s="1852" t="s">
        <v>1075</v>
      </c>
      <c r="B1150" s="2213">
        <f>'Part VII-Pro Forma'!B54</f>
        <v>-30964</v>
      </c>
      <c r="C1150" s="2213">
        <f>'Part VII-Pro Forma'!C54</f>
        <v>-31893</v>
      </c>
      <c r="D1150" s="2213">
        <f>'Part VII-Pro Forma'!D54</f>
        <v>-32850</v>
      </c>
      <c r="E1150" s="2213">
        <f>'Part VII-Pro Forma'!E54</f>
        <v>-33835</v>
      </c>
      <c r="F1150" s="2213">
        <f>'Part VII-Pro Forma'!F54</f>
        <v>-34850</v>
      </c>
      <c r="G1150" s="2213">
        <f>'Part VII-Pro Forma'!G54</f>
        <v>-35896</v>
      </c>
      <c r="H1150" s="2213">
        <f>'Part VII-Pro Forma'!H54</f>
        <v>-36972</v>
      </c>
      <c r="I1150" s="2213">
        <f>'Part VII-Pro Forma'!I54</f>
        <v>-38082</v>
      </c>
      <c r="J1150" s="2213">
        <f>'Part VII-Pro Forma'!J54</f>
        <v>-39224</v>
      </c>
      <c r="K1150" s="2213">
        <f>'Part VII-Pro Forma'!K54</f>
        <v>-40401</v>
      </c>
      <c r="N1150" s="2043"/>
      <c r="O1150" s="2043"/>
      <c r="Z1150" s="1924" t="s">
        <v>6773</v>
      </c>
      <c r="AA1150" s="2051">
        <v>54</v>
      </c>
    </row>
    <row r="1151" spans="1:27" s="1852" customFormat="1" ht="13.35" customHeight="1">
      <c r="A1151" s="1852" t="s">
        <v>1156</v>
      </c>
      <c r="B1151" s="2213">
        <f>'Part VII-Pro Forma'!B55</f>
        <v>-16126.996552129462</v>
      </c>
      <c r="C1151" s="2213">
        <f>'Part VII-Pro Forma'!C55</f>
        <v>-16610.806448693347</v>
      </c>
      <c r="D1151" s="2213">
        <f>'Part VII-Pro Forma'!D55</f>
        <v>-17109.130642154145</v>
      </c>
      <c r="E1151" s="2213">
        <f>'Part VII-Pro Forma'!E55</f>
        <v>-17622.404561418767</v>
      </c>
      <c r="F1151" s="2213">
        <f>'Part VII-Pro Forma'!F55</f>
        <v>-18151.076698261331</v>
      </c>
      <c r="G1151" s="2213">
        <f>'Part VII-Pro Forma'!G55</f>
        <v>-18695.608999209173</v>
      </c>
      <c r="H1151" s="2213">
        <f>'Part VII-Pro Forma'!H55</f>
        <v>-19256.477269185445</v>
      </c>
      <c r="I1151" s="2213">
        <f>'Part VII-Pro Forma'!I55</f>
        <v>-19834.171587261008</v>
      </c>
      <c r="J1151" s="2213">
        <f>'Part VII-Pro Forma'!J55</f>
        <v>-20429.196734878838</v>
      </c>
      <c r="K1151" s="2213">
        <f>'Part VII-Pro Forma'!K55</f>
        <v>-21042.072636925204</v>
      </c>
      <c r="N1151" s="2043"/>
      <c r="O1151" s="2043"/>
      <c r="Q1151" s="2051">
        <v>10</v>
      </c>
      <c r="R1151" s="2140">
        <f>-SUM(B1157:K1157)</f>
        <v>0</v>
      </c>
      <c r="S1151" s="2140">
        <f>SUM(B1158:K1158)+R1151</f>
        <v>0</v>
      </c>
      <c r="Z1151" s="1924" t="s">
        <v>6773</v>
      </c>
      <c r="AA1151" s="2051">
        <v>55</v>
      </c>
    </row>
    <row r="1152" spans="1:27" s="1852" customFormat="1" ht="13.35" customHeight="1">
      <c r="A1152" s="1852" t="s">
        <v>4014</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6773</v>
      </c>
      <c r="AA1152" s="2051">
        <v>56</v>
      </c>
    </row>
    <row r="1153" spans="1:27" s="1852" customFormat="1" ht="13.35" customHeight="1">
      <c r="A1153" s="1852" t="s">
        <v>1157</v>
      </c>
      <c r="B1153" s="2213">
        <f>'Part VII-Pro Forma'!B57</f>
        <v>62162.745360562971</v>
      </c>
      <c r="C1153" s="2213">
        <f>'Part VII-Pro Forma'!C57</f>
        <v>60095.073087750512</v>
      </c>
      <c r="D1153" s="2213">
        <f>'Part VII-Pro Forma'!D57</f>
        <v>57886.591154081158</v>
      </c>
      <c r="E1153" s="2213">
        <f>'Part VII-Pro Forma'!E57</f>
        <v>55532.342279875636</v>
      </c>
      <c r="F1153" s="2213">
        <f>'Part VII-Pro Forma'!F57</f>
        <v>53025.1890072674</v>
      </c>
      <c r="G1153" s="2213">
        <f>'Part VII-Pro Forma'!G57</f>
        <v>50358.807665660701</v>
      </c>
      <c r="H1153" s="2213">
        <f>'Part VII-Pro Forma'!H57</f>
        <v>47528.682143569546</v>
      </c>
      <c r="I1153" s="2213">
        <f>'Part VII-Pro Forma'!I57</f>
        <v>44525.097460774312</v>
      </c>
      <c r="J1153" s="2213">
        <f>'Part VII-Pro Forma'!J57</f>
        <v>41344.133134553129</v>
      </c>
      <c r="K1153" s="2213">
        <f>'Part VII-Pro Forma'!K57</f>
        <v>37976.656333544466</v>
      </c>
      <c r="N1153" s="2043"/>
      <c r="O1153" s="2043"/>
      <c r="Z1153" s="1924" t="s">
        <v>6773</v>
      </c>
      <c r="AA1153" s="2051">
        <v>57</v>
      </c>
    </row>
    <row r="1154" spans="1:27" s="1852" customFormat="1" ht="13.35" customHeight="1">
      <c r="A1154" s="1852" t="str">
        <f>$A1122</f>
        <v>Mortgage A</v>
      </c>
      <c r="B1154" s="2214">
        <f>'Part VII-Pro Forma'!B58</f>
        <v>-53361.668851685332</v>
      </c>
      <c r="C1154" s="2214">
        <f>'Part VII-Pro Forma'!C58</f>
        <v>-53361.668851685332</v>
      </c>
      <c r="D1154" s="2214">
        <f>'Part VII-Pro Forma'!D58</f>
        <v>-53361.668851685332</v>
      </c>
      <c r="E1154" s="2214">
        <f>'Part VII-Pro Forma'!E58</f>
        <v>-53361.668851685332</v>
      </c>
      <c r="F1154" s="2214">
        <f>'Part VII-Pro Forma'!F58</f>
        <v>-53361.668851685332</v>
      </c>
      <c r="G1154" s="2214">
        <f>'Part VII-Pro Forma'!G58</f>
        <v>-53361.668851685332</v>
      </c>
      <c r="H1154" s="2214">
        <f>'Part VII-Pro Forma'!H58</f>
        <v>-53361.668851685332</v>
      </c>
      <c r="I1154" s="2214">
        <f>'Part VII-Pro Forma'!I58</f>
        <v>-53361.668851685332</v>
      </c>
      <c r="J1154" s="2214">
        <f>'Part VII-Pro Forma'!J58</f>
        <v>-53361.668851685332</v>
      </c>
      <c r="K1154" s="2214">
        <f>'Part VII-Pro Forma'!K58</f>
        <v>-53361.668851685332</v>
      </c>
      <c r="N1154" s="2043"/>
      <c r="O1154" s="2043"/>
      <c r="Z1154" s="1924" t="s">
        <v>6773</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6773</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6773</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6773</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6773</v>
      </c>
      <c r="AA1158" s="2051">
        <v>62</v>
      </c>
    </row>
    <row r="1159" spans="1:27" s="1852" customFormat="1" ht="13.35" customHeight="1">
      <c r="A1159" s="1852" t="s">
        <v>1121</v>
      </c>
      <c r="B1159" s="2214">
        <f>'Part VII-Pro Forma'!B63</f>
        <v>-7500</v>
      </c>
      <c r="C1159" s="2214">
        <f>'Part VII-Pro Forma'!C63</f>
        <v>-7500</v>
      </c>
      <c r="D1159" s="2214">
        <f>'Part VII-Pro Forma'!D63</f>
        <v>-7500</v>
      </c>
      <c r="E1159" s="2214">
        <f>'Part VII-Pro Forma'!E63</f>
        <v>-7500</v>
      </c>
      <c r="F1159" s="2214">
        <f>'Part VII-Pro Forma'!F63</f>
        <v>-7500</v>
      </c>
      <c r="G1159" s="2214">
        <f>'Part VII-Pro Forma'!G63</f>
        <v>-7500</v>
      </c>
      <c r="H1159" s="2214">
        <f>'Part VII-Pro Forma'!H63</f>
        <v>-7500</v>
      </c>
      <c r="I1159" s="2214">
        <f>'Part VII-Pro Forma'!I63</f>
        <v>-7500</v>
      </c>
      <c r="J1159" s="2214">
        <f>'Part VII-Pro Forma'!J63</f>
        <v>-7500</v>
      </c>
      <c r="K1159" s="2214">
        <f>'Part VII-Pro Forma'!K63</f>
        <v>-7500</v>
      </c>
      <c r="N1159" s="2043"/>
      <c r="O1159" s="2043"/>
      <c r="Z1159" s="1924" t="s">
        <v>6773</v>
      </c>
      <c r="AA1159" s="2051">
        <v>63</v>
      </c>
    </row>
    <row r="1160" spans="1:27" s="1852" customFormat="1" ht="13.35" customHeight="1">
      <c r="A1160" s="1852" t="s">
        <v>3510</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6773</v>
      </c>
      <c r="AA1160" s="2051">
        <v>64</v>
      </c>
    </row>
    <row r="1161" spans="1:27" s="1852" customFormat="1" ht="13.35" customHeight="1">
      <c r="A1161" s="1852" t="s">
        <v>1122</v>
      </c>
      <c r="B1161" s="2213">
        <f>'Part VII-Pro Forma'!B65</f>
        <v>1301.0765088776388</v>
      </c>
      <c r="C1161" s="2213">
        <f>'Part VII-Pro Forma'!C65</f>
        <v>-766.59576393481984</v>
      </c>
      <c r="D1161" s="2213">
        <f>'Part VII-Pro Forma'!D65</f>
        <v>-2975.0776976041743</v>
      </c>
      <c r="E1161" s="2213">
        <f>'Part VII-Pro Forma'!E65</f>
        <v>-5329.3265718096955</v>
      </c>
      <c r="F1161" s="2213">
        <f>'Part VII-Pro Forma'!F65</f>
        <v>-7836.4798444179323</v>
      </c>
      <c r="G1161" s="2213">
        <f>'Part VII-Pro Forma'!G65</f>
        <v>-10502.861186024631</v>
      </c>
      <c r="H1161" s="2213">
        <f>'Part VII-Pro Forma'!H65</f>
        <v>-13332.986708115786</v>
      </c>
      <c r="I1161" s="2213">
        <f>'Part VII-Pro Forma'!I65</f>
        <v>-16336.57139091102</v>
      </c>
      <c r="J1161" s="2213">
        <f>'Part VII-Pro Forma'!J65</f>
        <v>-19517.535717132203</v>
      </c>
      <c r="K1161" s="2213">
        <f>'Part VII-Pro Forma'!K65</f>
        <v>-22885.012518140866</v>
      </c>
      <c r="N1161" s="2043"/>
      <c r="O1161" s="2043"/>
      <c r="Z1161" s="1924" t="s">
        <v>6773</v>
      </c>
      <c r="AA1161" s="2051">
        <v>65</v>
      </c>
    </row>
    <row r="1162" spans="1:27" s="1852" customFormat="1" ht="13.35" customHeight="1">
      <c r="A1162" s="1852" t="str">
        <f>$A1130</f>
        <v>DCR Mortgage A</v>
      </c>
      <c r="B1162" s="2215">
        <f>'Part VII-Pro Forma'!B66</f>
        <v>1.1649325573632181</v>
      </c>
      <c r="C1162" s="2215">
        <f>'Part VII-Pro Forma'!C66</f>
        <v>1.1261842888531122</v>
      </c>
      <c r="D1162" s="2215">
        <f>'Part VII-Pro Forma'!D66</f>
        <v>1.0847972411614881</v>
      </c>
      <c r="E1162" s="2215">
        <f>'Part VII-Pro Forma'!E66</f>
        <v>1.0406785146510977</v>
      </c>
      <c r="F1162" s="2215">
        <f>'Part VII-Pro Forma'!F66</f>
        <v>0.9936943530504424</v>
      </c>
      <c r="G1162" s="2215">
        <f>'Part VII-Pro Forma'!G66</f>
        <v>0.94372625049694658</v>
      </c>
      <c r="H1162" s="2215">
        <f>'Part VII-Pro Forma'!H66</f>
        <v>0.89068957486453193</v>
      </c>
      <c r="I1162" s="2215">
        <f>'Part VII-Pro Forma'!I66</f>
        <v>0.83440226700046449</v>
      </c>
      <c r="J1162" s="2215">
        <f>'Part VII-Pro Forma'!J66</f>
        <v>0.77479085688766547</v>
      </c>
      <c r="K1162" s="2215">
        <f>'Part VII-Pro Forma'!K66</f>
        <v>0.71168419486837398</v>
      </c>
      <c r="N1162" s="2043"/>
      <c r="O1162" s="2043"/>
      <c r="Z1162" s="1924" t="s">
        <v>6773</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6773</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6773</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6773</v>
      </c>
      <c r="AA1165" s="2051">
        <v>69</v>
      </c>
    </row>
    <row r="1166" spans="1:27" s="1852" customFormat="1" ht="13.35" customHeight="1">
      <c r="A1166" s="1852" t="s">
        <v>3344</v>
      </c>
      <c r="B1166" s="2215">
        <f>'Part VII-Pro Forma'!B70</f>
        <v>1.1649325573632181</v>
      </c>
      <c r="C1166" s="2215">
        <f>'Part VII-Pro Forma'!C70</f>
        <v>1.1261842888531122</v>
      </c>
      <c r="D1166" s="2215">
        <f>'Part VII-Pro Forma'!D70</f>
        <v>1.0847972411614881</v>
      </c>
      <c r="E1166" s="2215">
        <f>'Part VII-Pro Forma'!E70</f>
        <v>1.0406785146510977</v>
      </c>
      <c r="F1166" s="2215">
        <f>'Part VII-Pro Forma'!F70</f>
        <v>0.9936943530504424</v>
      </c>
      <c r="G1166" s="2215">
        <f>'Part VII-Pro Forma'!G70</f>
        <v>0.94372625049694658</v>
      </c>
      <c r="H1166" s="2215">
        <f>'Part VII-Pro Forma'!H70</f>
        <v>0.89068957486453193</v>
      </c>
      <c r="I1166" s="2215">
        <f>'Part VII-Pro Forma'!I70</f>
        <v>0.83440226700046449</v>
      </c>
      <c r="J1166" s="2215">
        <f>'Part VII-Pro Forma'!J70</f>
        <v>0.77479085688766547</v>
      </c>
      <c r="K1166" s="2215">
        <f>'Part VII-Pro Forma'!K70</f>
        <v>0.71168419486837398</v>
      </c>
      <c r="N1166" s="2043"/>
      <c r="O1166" s="2043"/>
      <c r="Z1166" s="1924" t="s">
        <v>6773</v>
      </c>
      <c r="AA1166" s="2051">
        <v>70</v>
      </c>
    </row>
    <row r="1167" spans="1:27" s="1852" customFormat="1" ht="13.35" customHeight="1">
      <c r="A1167" s="1852" t="s">
        <v>740</v>
      </c>
      <c r="B1167" s="2215">
        <f>'Part VII-Pro Forma'!B71</f>
        <v>1.1877548010540249</v>
      </c>
      <c r="C1167" s="2215">
        <f>'Part VII-Pro Forma'!C71</f>
        <v>1.1762229251110303</v>
      </c>
      <c r="D1167" s="2215">
        <f>'Part VII-Pro Forma'!D71</f>
        <v>1.1648025886627353</v>
      </c>
      <c r="E1167" s="2215">
        <f>'Part VII-Pro Forma'!E71</f>
        <v>1.1534954198362877</v>
      </c>
      <c r="F1167" s="2215">
        <f>'Part VII-Pro Forma'!F71</f>
        <v>1.1422965884490703</v>
      </c>
      <c r="G1167" s="2215">
        <f>'Part VII-Pro Forma'!G71</f>
        <v>1.1312048566860857</v>
      </c>
      <c r="H1167" s="2215">
        <f>'Part VII-Pro Forma'!H71</f>
        <v>1.120224778852219</v>
      </c>
      <c r="I1167" s="2215">
        <f>'Part VII-Pro Forma'!I71</f>
        <v>1.1093465216434939</v>
      </c>
      <c r="J1167" s="2215">
        <f>'Part VII-Pro Forma'!J71</f>
        <v>1.09857737196539</v>
      </c>
      <c r="K1167" s="2215">
        <f>'Part VII-Pro Forma'!K71</f>
        <v>1.0879108670941355</v>
      </c>
      <c r="N1167" s="2043"/>
      <c r="O1167" s="2043"/>
      <c r="Z1167" s="1924" t="s">
        <v>6773</v>
      </c>
      <c r="AA1167" s="2051">
        <v>71</v>
      </c>
    </row>
    <row r="1168" spans="1:27" s="1852" customFormat="1" ht="13.35" customHeight="1">
      <c r="A1168" s="1852" t="s">
        <v>2493</v>
      </c>
      <c r="B1168" s="2214">
        <f>'Part VII-Pro Forma'!B72</f>
        <v>-53888.181663647978</v>
      </c>
      <c r="C1168" s="2214">
        <f>'Part VII-Pro Forma'!C72</f>
        <v>-108940.9489628383</v>
      </c>
      <c r="D1168" s="2214">
        <f>'Part VII-Pro Forma'!D72</f>
        <v>-165183.46993367648</v>
      </c>
      <c r="E1168" s="2214">
        <f>'Part VII-Pro Forma'!E72</f>
        <v>-222641.45652251222</v>
      </c>
      <c r="F1168" s="2214">
        <f>'Part VII-Pro Forma'!F72</f>
        <v>-281341.1763404524</v>
      </c>
      <c r="G1168" s="2214">
        <f>'Part VII-Pro Forma'!G72</f>
        <v>-341309.46467191621</v>
      </c>
      <c r="H1168" s="2214">
        <f>'Part VII-Pro Forma'!H72</f>
        <v>-402573.73674270872</v>
      </c>
      <c r="I1168" s="2214">
        <f>'Part VII-Pro Forma'!I72</f>
        <v>-465162.00025322178</v>
      </c>
      <c r="J1168" s="2214">
        <f>'Part VII-Pro Forma'!J72</f>
        <v>-529102.86818249198</v>
      </c>
      <c r="K1168" s="2214">
        <f>'Part VII-Pro Forma'!K72</f>
        <v>-594425.57186896889</v>
      </c>
      <c r="N1168" s="2043"/>
      <c r="O1168" s="2043"/>
      <c r="Z1168" s="1924" t="s">
        <v>6773</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6773</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6773</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6773</v>
      </c>
      <c r="AA1171" s="2051">
        <v>75</v>
      </c>
    </row>
    <row r="1172" spans="1:27" s="1852" customFormat="1" ht="13.35" customHeight="1">
      <c r="A1172" s="1852" t="s">
        <v>3511</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6773</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505340.9904243187</v>
      </c>
      <c r="C1175" s="2213">
        <f>'Part VII-Pro Forma'!C79</f>
        <v>515447.81023280503</v>
      </c>
      <c r="D1175" s="2213">
        <f>'Part VII-Pro Forma'!D79</f>
        <v>525756.76643746113</v>
      </c>
      <c r="E1175" s="2213">
        <f>'Part VII-Pro Forma'!E79</f>
        <v>536271.90176621033</v>
      </c>
      <c r="F1175" s="2213">
        <f>'Part VII-Pro Forma'!F79</f>
        <v>546997.33980153454</v>
      </c>
      <c r="G1175" s="2213">
        <f>'Part VII-Pro Forma'!G79</f>
        <v>557937.28659756517</v>
      </c>
      <c r="H1175" s="2213">
        <f>'Part VII-Pro Forma'!H79</f>
        <v>569096.0323295166</v>
      </c>
      <c r="I1175" s="2213">
        <f>'Part VII-Pro Forma'!I79</f>
        <v>580477.95297610678</v>
      </c>
      <c r="J1175" s="2213">
        <f>'Part VII-Pro Forma'!J79</f>
        <v>592087.51203562913</v>
      </c>
      <c r="K1175" s="2213">
        <f>'Part VII-Pro Forma'!K79</f>
        <v>603929.26227634156</v>
      </c>
      <c r="N1175" s="2043"/>
      <c r="O1175" s="2043"/>
      <c r="Z1175" s="1924" t="s">
        <v>6774</v>
      </c>
      <c r="AA1175" s="2051">
        <v>79</v>
      </c>
    </row>
    <row r="1176" spans="1:27" s="1852" customFormat="1" ht="13.35" customHeight="1">
      <c r="A1176" s="1852" t="s">
        <v>977</v>
      </c>
      <c r="B1176" s="2213">
        <f>'Part VII-Pro Forma'!B80</f>
        <v>10106.819808486374</v>
      </c>
      <c r="C1176" s="2213">
        <f>'Part VII-Pro Forma'!C80</f>
        <v>10308.956204656102</v>
      </c>
      <c r="D1176" s="2213">
        <f>'Part VII-Pro Forma'!D80</f>
        <v>10515.135328749224</v>
      </c>
      <c r="E1176" s="2213">
        <f>'Part VII-Pro Forma'!E80</f>
        <v>10725.438035324207</v>
      </c>
      <c r="F1176" s="2213">
        <f>'Part VII-Pro Forma'!F80</f>
        <v>10939.946796030692</v>
      </c>
      <c r="G1176" s="2213">
        <f>'Part VII-Pro Forma'!G80</f>
        <v>11158.745731951305</v>
      </c>
      <c r="H1176" s="2213">
        <f>'Part VII-Pro Forma'!H80</f>
        <v>11381.920646590332</v>
      </c>
      <c r="I1176" s="2213">
        <f>'Part VII-Pro Forma'!I80</f>
        <v>11609.559059522137</v>
      </c>
      <c r="J1176" s="2213">
        <f>'Part VII-Pro Forma'!J80</f>
        <v>11841.750240712583</v>
      </c>
      <c r="K1176" s="2213">
        <f>'Part VII-Pro Forma'!K80</f>
        <v>12078.585245526832</v>
      </c>
      <c r="N1176" s="2043"/>
      <c r="O1176" s="2043"/>
      <c r="Z1176" s="1924" t="s">
        <v>6774</v>
      </c>
      <c r="AA1176" s="2051">
        <v>80</v>
      </c>
    </row>
    <row r="1177" spans="1:27" s="1852" customFormat="1" ht="13.35" customHeight="1">
      <c r="A1177" s="1852" t="s">
        <v>2295</v>
      </c>
      <c r="B1177" s="2213">
        <f>'Part VII-Pro Forma'!B81</f>
        <v>-36081.346716296357</v>
      </c>
      <c r="C1177" s="2213">
        <f>'Part VII-Pro Forma'!C81</f>
        <v>-36802.973650622283</v>
      </c>
      <c r="D1177" s="2213">
        <f>'Part VII-Pro Forma'!D81</f>
        <v>-37539.033123634727</v>
      </c>
      <c r="E1177" s="2213">
        <f>'Part VII-Pro Forma'!E81</f>
        <v>-38289.813786107421</v>
      </c>
      <c r="F1177" s="2213">
        <f>'Part VII-Pro Forma'!F81</f>
        <v>-39055.610061829575</v>
      </c>
      <c r="G1177" s="2213">
        <f>'Part VII-Pro Forma'!G81</f>
        <v>-39836.722263066156</v>
      </c>
      <c r="H1177" s="2213">
        <f>'Part VII-Pro Forma'!H81</f>
        <v>-40633.456708327489</v>
      </c>
      <c r="I1177" s="2213">
        <f>'Part VII-Pro Forma'!I81</f>
        <v>-41446.125842494024</v>
      </c>
      <c r="J1177" s="2213">
        <f>'Part VII-Pro Forma'!J81</f>
        <v>-42275.04835934392</v>
      </c>
      <c r="K1177" s="2213">
        <f>'Part VII-Pro Forma'!K81</f>
        <v>-43120.549326530796</v>
      </c>
      <c r="N1177" s="2043"/>
      <c r="O1177" s="2043"/>
      <c r="Z1177" s="1924" t="s">
        <v>6774</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6774</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6774</v>
      </c>
      <c r="AA1179" s="2051">
        <v>83</v>
      </c>
    </row>
    <row r="1180" spans="1:27" s="1852" customFormat="1" ht="13.35" customHeight="1">
      <c r="A1180" s="1852" t="s">
        <v>4015</v>
      </c>
      <c r="B1180" s="2213">
        <f>'Part VII-Pro Forma'!B84</f>
        <v>479366.46351650875</v>
      </c>
      <c r="C1180" s="2213">
        <f>'Part VII-Pro Forma'!C84</f>
        <v>488953.79278683884</v>
      </c>
      <c r="D1180" s="2213">
        <f>'Part VII-Pro Forma'!D84</f>
        <v>498732.86864257557</v>
      </c>
      <c r="E1180" s="2213">
        <f>'Part VII-Pro Forma'!E84</f>
        <v>508707.52601542714</v>
      </c>
      <c r="F1180" s="2213">
        <f>'Part VII-Pro Forma'!F84</f>
        <v>518881.67653573572</v>
      </c>
      <c r="G1180" s="2213">
        <f>'Part VII-Pro Forma'!G84</f>
        <v>529259.31006645039</v>
      </c>
      <c r="H1180" s="2213">
        <f>'Part VII-Pro Forma'!H84</f>
        <v>539844.49626777938</v>
      </c>
      <c r="I1180" s="2213">
        <f>'Part VII-Pro Forma'!I84</f>
        <v>550641.38619313482</v>
      </c>
      <c r="J1180" s="2213">
        <f>'Part VII-Pro Forma'!J84</f>
        <v>561654.21391699777</v>
      </c>
      <c r="K1180" s="2213">
        <f>'Part VII-Pro Forma'!K84</f>
        <v>572887.29819533764</v>
      </c>
      <c r="N1180" s="2043"/>
      <c r="O1180" s="2043"/>
      <c r="Z1180" s="1924" t="s">
        <v>6774</v>
      </c>
      <c r="AA1180" s="2051">
        <v>84</v>
      </c>
    </row>
    <row r="1181" spans="1:27" s="1852" customFormat="1" ht="13.35" customHeight="1">
      <c r="A1181" s="1852" t="s">
        <v>585</v>
      </c>
      <c r="B1181" s="2213">
        <f>'Part VII-Pro Forma'!B85</f>
        <v>-381663.81388787105</v>
      </c>
      <c r="C1181" s="2213">
        <f>'Part VII-Pro Forma'!C85</f>
        <v>-393113.72830450715</v>
      </c>
      <c r="D1181" s="2213">
        <f>'Part VII-Pro Forma'!D85</f>
        <v>-404907.14015364239</v>
      </c>
      <c r="E1181" s="2213">
        <f>'Part VII-Pro Forma'!E85</f>
        <v>-417054.35435825173</v>
      </c>
      <c r="F1181" s="2213">
        <f>'Part VII-Pro Forma'!F85</f>
        <v>-429565.9849889992</v>
      </c>
      <c r="G1181" s="2213">
        <f>'Part VII-Pro Forma'!G85</f>
        <v>-442452.96453866916</v>
      </c>
      <c r="H1181" s="2213">
        <f>'Part VII-Pro Forma'!H85</f>
        <v>-455726.5534748293</v>
      </c>
      <c r="I1181" s="2213">
        <f>'Part VII-Pro Forma'!I85</f>
        <v>-469398.35007907409</v>
      </c>
      <c r="J1181" s="2213">
        <f>'Part VII-Pro Forma'!J85</f>
        <v>-483480.30058144632</v>
      </c>
      <c r="K1181" s="2213">
        <f>'Part VII-Pro Forma'!K85</f>
        <v>-497984.70959888969</v>
      </c>
      <c r="N1181" s="2043"/>
      <c r="O1181" s="2043"/>
      <c r="Z1181" s="1924" t="s">
        <v>6774</v>
      </c>
      <c r="AA1181" s="2051">
        <v>85</v>
      </c>
    </row>
    <row r="1182" spans="1:27" s="1852" customFormat="1" ht="13.35" customHeight="1">
      <c r="A1182" s="1852" t="s">
        <v>1075</v>
      </c>
      <c r="B1182" s="2213">
        <f>'Part VII-Pro Forma'!B86</f>
        <v>-41613</v>
      </c>
      <c r="C1182" s="2213">
        <f>'Part VII-Pro Forma'!C86</f>
        <v>-42861</v>
      </c>
      <c r="D1182" s="2213">
        <f>'Part VII-Pro Forma'!D86</f>
        <v>-44147</v>
      </c>
      <c r="E1182" s="2213">
        <f>'Part VII-Pro Forma'!E86</f>
        <v>-45471</v>
      </c>
      <c r="F1182" s="2213">
        <f>'Part VII-Pro Forma'!F86</f>
        <v>-46836</v>
      </c>
      <c r="G1182" s="2213">
        <f>'Part VII-Pro Forma'!G86</f>
        <v>-48241</v>
      </c>
      <c r="H1182" s="2213">
        <f>'Part VII-Pro Forma'!H86</f>
        <v>-49688</v>
      </c>
      <c r="I1182" s="2213">
        <f>'Part VII-Pro Forma'!I86</f>
        <v>-51178</v>
      </c>
      <c r="J1182" s="2213">
        <f>'Part VII-Pro Forma'!J86</f>
        <v>-52714</v>
      </c>
      <c r="K1182" s="2213">
        <f>'Part VII-Pro Forma'!K86</f>
        <v>-54295</v>
      </c>
      <c r="N1182" s="2043"/>
      <c r="O1182" s="2043"/>
      <c r="Z1182" s="1924" t="s">
        <v>6774</v>
      </c>
      <c r="AA1182" s="2051">
        <v>86</v>
      </c>
    </row>
    <row r="1183" spans="1:27" s="1852" customFormat="1" ht="13.35" customHeight="1">
      <c r="A1183" s="1852" t="s">
        <v>1156</v>
      </c>
      <c r="B1183" s="2213">
        <f>'Part VII-Pro Forma'!B87</f>
        <v>-21673.334816032959</v>
      </c>
      <c r="C1183" s="2213">
        <f>'Part VII-Pro Forma'!C87</f>
        <v>-22323.534860513944</v>
      </c>
      <c r="D1183" s="2213">
        <f>'Part VII-Pro Forma'!D87</f>
        <v>-22993.240906329367</v>
      </c>
      <c r="E1183" s="2213">
        <f>'Part VII-Pro Forma'!E87</f>
        <v>-23683.038133519247</v>
      </c>
      <c r="F1183" s="2213">
        <f>'Part VII-Pro Forma'!F87</f>
        <v>-24393.529277524824</v>
      </c>
      <c r="G1183" s="2213">
        <f>'Part VII-Pro Forma'!G87</f>
        <v>-25125.335155850567</v>
      </c>
      <c r="H1183" s="2213">
        <f>'Part VII-Pro Forma'!H87</f>
        <v>-25879.095210526088</v>
      </c>
      <c r="I1183" s="2213">
        <f>'Part VII-Pro Forma'!I87</f>
        <v>-26655.468066841866</v>
      </c>
      <c r="J1183" s="2213">
        <f>'Part VII-Pro Forma'!J87</f>
        <v>-27455.132108847123</v>
      </c>
      <c r="K1183" s="2213">
        <f>'Part VII-Pro Forma'!K87</f>
        <v>-28278.786072112533</v>
      </c>
      <c r="N1183" s="2043"/>
      <c r="O1183" s="2043"/>
      <c r="Q1183" s="2051">
        <v>10</v>
      </c>
      <c r="R1183" s="2140">
        <f>-SUM(B1189:K1189)</f>
        <v>0</v>
      </c>
      <c r="S1183" s="2140">
        <f>SUM(B1190:K1190)+R1183</f>
        <v>0</v>
      </c>
      <c r="Z1183" s="1924" t="s">
        <v>6774</v>
      </c>
      <c r="AA1183" s="2051">
        <v>87</v>
      </c>
    </row>
    <row r="1184" spans="1:27" s="1852" customFormat="1" ht="13.35" customHeight="1">
      <c r="A1184" s="1852" t="s">
        <v>4014</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6774</v>
      </c>
      <c r="AA1184" s="2051">
        <v>88</v>
      </c>
    </row>
    <row r="1185" spans="1:27" s="1852" customFormat="1" ht="13.35" customHeight="1">
      <c r="A1185" s="1852" t="s">
        <v>1157</v>
      </c>
      <c r="B1185" s="2213">
        <f>'Part VII-Pro Forma'!B89</f>
        <v>34416.314812604745</v>
      </c>
      <c r="C1185" s="2213">
        <f>'Part VII-Pro Forma'!C89</f>
        <v>30655.529621817739</v>
      </c>
      <c r="D1185" s="2213">
        <f>'Part VII-Pro Forma'!D89</f>
        <v>26685.487582603811</v>
      </c>
      <c r="E1185" s="2213">
        <f>'Part VII-Pro Forma'!E89</f>
        <v>22499.133523656161</v>
      </c>
      <c r="F1185" s="2213">
        <f>'Part VII-Pro Forma'!F89</f>
        <v>18086.162269211694</v>
      </c>
      <c r="G1185" s="2213">
        <f>'Part VII-Pro Forma'!G89</f>
        <v>13440.010371930664</v>
      </c>
      <c r="H1185" s="2213">
        <f>'Part VII-Pro Forma'!H89</f>
        <v>8550.847582423994</v>
      </c>
      <c r="I1185" s="2213">
        <f>'Part VII-Pro Forma'!I89</f>
        <v>3409.5680472188615</v>
      </c>
      <c r="J1185" s="2213">
        <f>'Part VII-Pro Forma'!J89</f>
        <v>-1995.2187732956736</v>
      </c>
      <c r="K1185" s="2213">
        <f>'Part VII-Pro Forma'!K89</f>
        <v>-7671.1974756645795</v>
      </c>
      <c r="N1185" s="2043"/>
      <c r="O1185" s="2043"/>
      <c r="Z1185" s="1924" t="s">
        <v>6774</v>
      </c>
      <c r="AA1185" s="2051">
        <v>89</v>
      </c>
    </row>
    <row r="1186" spans="1:27" s="1852" customFormat="1" ht="13.35" customHeight="1">
      <c r="A1186" s="1852" t="str">
        <f>$A1154</f>
        <v>Mortgage A</v>
      </c>
      <c r="B1186" s="2214">
        <f>'Part VII-Pro Forma'!B90</f>
        <v>-53361.668851685332</v>
      </c>
      <c r="C1186" s="2214">
        <f>'Part VII-Pro Forma'!C90</f>
        <v>-53361.668851685332</v>
      </c>
      <c r="D1186" s="2214">
        <f>'Part VII-Pro Forma'!D90</f>
        <v>-53361.668851685332</v>
      </c>
      <c r="E1186" s="2214">
        <f>'Part VII-Pro Forma'!E90</f>
        <v>-53361.668851685332</v>
      </c>
      <c r="F1186" s="2214">
        <f>'Part VII-Pro Forma'!F90</f>
        <v>-53361.668851685332</v>
      </c>
      <c r="G1186" s="2214">
        <f>'Part VII-Pro Forma'!G90</f>
        <v>-53361.668851685332</v>
      </c>
      <c r="H1186" s="2214">
        <f>'Part VII-Pro Forma'!H90</f>
        <v>-53361.668851685332</v>
      </c>
      <c r="I1186" s="2214">
        <f>'Part VII-Pro Forma'!I90</f>
        <v>-53361.668851685332</v>
      </c>
      <c r="J1186" s="2214">
        <f>'Part VII-Pro Forma'!J90</f>
        <v>-53361.668851685332</v>
      </c>
      <c r="K1186" s="2214">
        <f>'Part VII-Pro Forma'!K90</f>
        <v>-53361.668851685332</v>
      </c>
      <c r="N1186" s="2043"/>
      <c r="O1186" s="2043"/>
      <c r="Z1186" s="1924" t="s">
        <v>6774</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6774</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6774</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6774</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6774</v>
      </c>
      <c r="AA1190" s="2051">
        <v>94</v>
      </c>
    </row>
    <row r="1191" spans="1:27" s="1852" customFormat="1" ht="13.35" customHeight="1">
      <c r="A1191" s="1852" t="s">
        <v>1121</v>
      </c>
      <c r="B1191" s="2214">
        <f>'Part VII-Pro Forma'!B95</f>
        <v>-7500</v>
      </c>
      <c r="C1191" s="2214">
        <f>'Part VII-Pro Forma'!C95</f>
        <v>-7500</v>
      </c>
      <c r="D1191" s="2214">
        <f>'Part VII-Pro Forma'!D95</f>
        <v>-7500</v>
      </c>
      <c r="E1191" s="2214">
        <f>'Part VII-Pro Forma'!E95</f>
        <v>-7500</v>
      </c>
      <c r="F1191" s="2214">
        <f>'Part VII-Pro Forma'!F95</f>
        <v>-7500</v>
      </c>
      <c r="G1191" s="2214">
        <f>'Part VII-Pro Forma'!G95</f>
        <v>-7500</v>
      </c>
      <c r="H1191" s="2214">
        <f>'Part VII-Pro Forma'!H95</f>
        <v>-7500</v>
      </c>
      <c r="I1191" s="2214">
        <f>'Part VII-Pro Forma'!I95</f>
        <v>-7500</v>
      </c>
      <c r="J1191" s="2214">
        <f>'Part VII-Pro Forma'!J95</f>
        <v>-7500</v>
      </c>
      <c r="K1191" s="2214">
        <f>'Part VII-Pro Forma'!K95</f>
        <v>-7500</v>
      </c>
      <c r="N1191" s="2043"/>
      <c r="O1191" s="2043"/>
      <c r="Z1191" s="1924" t="s">
        <v>6774</v>
      </c>
      <c r="AA1191" s="2051">
        <v>95</v>
      </c>
    </row>
    <row r="1192" spans="1:27" s="1852" customFormat="1" ht="13.35" customHeight="1">
      <c r="A1192" s="1852" t="s">
        <v>1122</v>
      </c>
      <c r="B1192" s="2213">
        <f>'Part VII-Pro Forma'!B96</f>
        <v>-26445.354039080587</v>
      </c>
      <c r="C1192" s="2213">
        <f>'Part VII-Pro Forma'!C96</f>
        <v>-30206.139229867593</v>
      </c>
      <c r="D1192" s="2213">
        <f>'Part VII-Pro Forma'!D96</f>
        <v>-34176.18126908152</v>
      </c>
      <c r="E1192" s="2213">
        <f>'Part VII-Pro Forma'!E96</f>
        <v>-38362.535328029175</v>
      </c>
      <c r="F1192" s="2213">
        <f>'Part VII-Pro Forma'!F96</f>
        <v>-42775.506582473638</v>
      </c>
      <c r="G1192" s="2213">
        <f>'Part VII-Pro Forma'!G96</f>
        <v>-47421.658479754667</v>
      </c>
      <c r="H1192" s="2213">
        <f>'Part VII-Pro Forma'!H96</f>
        <v>-52310.821269261338</v>
      </c>
      <c r="I1192" s="2213">
        <f>'Part VII-Pro Forma'!I96</f>
        <v>-57452.10080446647</v>
      </c>
      <c r="J1192" s="2213">
        <f>'Part VII-Pro Forma'!J96</f>
        <v>-62856.887624981006</v>
      </c>
      <c r="K1192" s="2213">
        <f>'Part VII-Pro Forma'!K96</f>
        <v>-68532.866327349911</v>
      </c>
      <c r="N1192" s="2043"/>
      <c r="O1192" s="2043"/>
      <c r="Z1192" s="1924" t="s">
        <v>6774</v>
      </c>
      <c r="AA1192" s="1929">
        <v>96</v>
      </c>
    </row>
    <row r="1193" spans="1:27" s="1852" customFormat="1" ht="13.35" customHeight="1">
      <c r="A1193" s="1852" t="str">
        <f>$A1162</f>
        <v>DCR Mortgage A</v>
      </c>
      <c r="B1193" s="2215">
        <f>'Part VII-Pro Forma'!B97</f>
        <v>0.6449632395917424</v>
      </c>
      <c r="C1193" s="2215">
        <f>'Part VII-Pro Forma'!C97</f>
        <v>0.57448596120601914</v>
      </c>
      <c r="D1193" s="2215">
        <f>'Part VII-Pro Forma'!D97</f>
        <v>0.50008720036050747</v>
      </c>
      <c r="E1193" s="2215">
        <f>'Part VII-Pro Forma'!E97</f>
        <v>0.42163474283742469</v>
      </c>
      <c r="F1193" s="2215">
        <f>'Part VII-Pro Forma'!F97</f>
        <v>0.33893546919382894</v>
      </c>
      <c r="G1193" s="2215">
        <f>'Part VII-Pro Forma'!G97</f>
        <v>0.25186638014051138</v>
      </c>
      <c r="H1193" s="2215">
        <f>'Part VII-Pro Forma'!H97</f>
        <v>0.16024325637547843</v>
      </c>
      <c r="I1193" s="2215">
        <f>'Part VII-Pro Forma'!I97</f>
        <v>6.3895453807779029E-2</v>
      </c>
      <c r="J1193" s="2215">
        <f>'Part VII-Pro Forma'!J97</f>
        <v>-3.7390486771342012E-2</v>
      </c>
      <c r="K1193" s="2215">
        <f>'Part VII-Pro Forma'!K97</f>
        <v>-0.14375857503606351</v>
      </c>
      <c r="N1193" s="2043"/>
      <c r="O1193" s="2043"/>
      <c r="Z1193" s="1924" t="s">
        <v>6774</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6774</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6774</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6774</v>
      </c>
      <c r="AA1196" s="2051">
        <v>100</v>
      </c>
    </row>
    <row r="1197" spans="1:27" s="1852" customFormat="1" ht="13.35" customHeight="1">
      <c r="A1197" s="1852" t="s">
        <v>3344</v>
      </c>
      <c r="B1197" s="2215">
        <f>'Part VII-Pro Forma'!B101</f>
        <v>0.6449632395917424</v>
      </c>
      <c r="C1197" s="2215">
        <f>'Part VII-Pro Forma'!C101</f>
        <v>0.57448596120601914</v>
      </c>
      <c r="D1197" s="2215">
        <f>'Part VII-Pro Forma'!D101</f>
        <v>0.50008720036050747</v>
      </c>
      <c r="E1197" s="2215">
        <f>'Part VII-Pro Forma'!E101</f>
        <v>0.42163474283742469</v>
      </c>
      <c r="F1197" s="2215">
        <f>'Part VII-Pro Forma'!F101</f>
        <v>0.33893546919382894</v>
      </c>
      <c r="G1197" s="2215">
        <f>'Part VII-Pro Forma'!G101</f>
        <v>0.25186638014051138</v>
      </c>
      <c r="H1197" s="2215">
        <f>'Part VII-Pro Forma'!H101</f>
        <v>0.16024325637547843</v>
      </c>
      <c r="I1197" s="2215">
        <f>'Part VII-Pro Forma'!I101</f>
        <v>6.3895453807779029E-2</v>
      </c>
      <c r="J1197" s="2215">
        <f>'Part VII-Pro Forma'!J101</f>
        <v>-3.7390486771342012E-2</v>
      </c>
      <c r="K1197" s="2215">
        <f>'Part VII-Pro Forma'!K101</f>
        <v>-0.14375857503606351</v>
      </c>
      <c r="N1197" s="2043"/>
      <c r="O1197" s="2043"/>
      <c r="Z1197" s="1924" t="s">
        <v>6774</v>
      </c>
      <c r="AA1197" s="2051">
        <v>101</v>
      </c>
    </row>
    <row r="1198" spans="1:27" s="1852" customFormat="1" ht="13.35" customHeight="1">
      <c r="A1198" s="1852" t="s">
        <v>740</v>
      </c>
      <c r="B1198" s="2215">
        <f>'Part VII-Pro Forma'!B102</f>
        <v>1.0773486983044192</v>
      </c>
      <c r="C1198" s="2215">
        <f>'Part VII-Pro Forma'!C102</f>
        <v>1.0668899100993963</v>
      </c>
      <c r="D1198" s="2215">
        <f>'Part VII-Pro Forma'!D102</f>
        <v>1.0565313751401018</v>
      </c>
      <c r="E1198" s="2215">
        <f>'Part VII-Pro Forma'!E102</f>
        <v>1.0462746712543367</v>
      </c>
      <c r="F1198" s="2215">
        <f>'Part VII-Pro Forma'!F102</f>
        <v>1.0361148647581262</v>
      </c>
      <c r="G1198" s="2215">
        <f>'Part VII-Pro Forma'!G102</f>
        <v>1.0260556562732146</v>
      </c>
      <c r="H1198" s="2215">
        <f>'Part VII-Pro Forma'!H102</f>
        <v>1.0160943907452731</v>
      </c>
      <c r="I1198" s="2215">
        <f>'Part VII-Pro Forma'!I102</f>
        <v>1.0062305734684267</v>
      </c>
      <c r="J1198" s="2215">
        <f>'Part VII-Pro Forma'!J102</f>
        <v>0.99646017780276541</v>
      </c>
      <c r="K1198" s="2215">
        <f>'Part VII-Pro Forma'!K102</f>
        <v>0.98678652102610565</v>
      </c>
      <c r="N1198" s="2043"/>
      <c r="O1198" s="2043"/>
      <c r="Z1198" s="1924" t="s">
        <v>6774</v>
      </c>
      <c r="AA1198" s="2051">
        <v>102</v>
      </c>
    </row>
    <row r="1199" spans="1:27" s="1852" customFormat="1" ht="13.35" customHeight="1">
      <c r="A1199" s="1852" t="s">
        <v>2493</v>
      </c>
      <c r="B1199" s="2214">
        <f>'Part VII-Pro Forma'!B103</f>
        <v>-661159.97437397356</v>
      </c>
      <c r="C1199" s="2214">
        <f>'Part VII-Pro Forma'!C103</f>
        <v>-729336.58413395705</v>
      </c>
      <c r="D1199" s="2214">
        <f>'Part VII-Pro Forma'!D103</f>
        <v>-798986.5689077999</v>
      </c>
      <c r="E1199" s="2214">
        <f>'Part VII-Pro Forma'!E103</f>
        <v>-870141.77002552885</v>
      </c>
      <c r="F1199" s="2214">
        <f>'Part VII-Pro Forma'!F103</f>
        <v>-942834.71694496437</v>
      </c>
      <c r="G1199" s="2214">
        <f>'Part VII-Pro Forma'!G103</f>
        <v>-1017098.6421229546</v>
      </c>
      <c r="H1199" s="2214">
        <f>'Part VII-Pro Forma'!H103</f>
        <v>-1092967.4962079937</v>
      </c>
      <c r="I1199" s="2214">
        <f>'Part VII-Pro Forma'!I103</f>
        <v>-1170475.9635611693</v>
      </c>
      <c r="J1199" s="2214">
        <f>'Part VII-Pro Forma'!J103</f>
        <v>-1249659.4781125372</v>
      </c>
      <c r="K1199" s="2214">
        <f>'Part VII-Pro Forma'!K103</f>
        <v>-1330554.2395601689</v>
      </c>
      <c r="N1199" s="2043"/>
      <c r="O1199" s="2043"/>
      <c r="Z1199" s="1924" t="s">
        <v>6774</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6774</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6774</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6774</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2294</v>
      </c>
      <c r="B1205" s="2213">
        <f>'Part VII-Pro Forma'!B109</f>
        <v>616007.84752186842</v>
      </c>
      <c r="C1205" s="2213">
        <f>'Part VII-Pro Forma'!C109</f>
        <v>628328.00447230565</v>
      </c>
      <c r="D1205" s="2213">
        <f>'Part VII-Pro Forma'!D109</f>
        <v>640894.5645617519</v>
      </c>
      <c r="E1205" s="2213">
        <f>'Part VII-Pro Forma'!E109</f>
        <v>653712.45585298701</v>
      </c>
      <c r="F1205" s="2213">
        <f>'Part VII-Pro Forma'!F109</f>
        <v>666786.70497004665</v>
      </c>
      <c r="G1205" s="2213"/>
      <c r="H1205" s="2213"/>
      <c r="I1205" s="2213"/>
      <c r="J1205" s="2213"/>
      <c r="K1205" s="2213"/>
      <c r="N1205" s="2043"/>
      <c r="O1205" s="2043"/>
      <c r="Z1205" s="1924" t="s">
        <v>6775</v>
      </c>
      <c r="AA1205" s="2051">
        <v>109</v>
      </c>
    </row>
    <row r="1206" spans="1:27" s="1852" customFormat="1" ht="13.35" customHeight="1">
      <c r="A1206" s="1852" t="s">
        <v>977</v>
      </c>
      <c r="B1206" s="2213">
        <f>'Part VII-Pro Forma'!B110</f>
        <v>12320.156950437369</v>
      </c>
      <c r="C1206" s="2213">
        <f>'Part VII-Pro Forma'!C110</f>
        <v>12566.560089446115</v>
      </c>
      <c r="D1206" s="2213">
        <f>'Part VII-Pro Forma'!D110</f>
        <v>12817.891291235039</v>
      </c>
      <c r="E1206" s="2213">
        <f>'Part VII-Pro Forma'!E110</f>
        <v>13074.24911705974</v>
      </c>
      <c r="F1206" s="2213">
        <f>'Part VII-Pro Forma'!F110</f>
        <v>13335.734099400934</v>
      </c>
      <c r="G1206" s="2213"/>
      <c r="H1206" s="2213"/>
      <c r="I1206" s="2213"/>
      <c r="J1206" s="2213"/>
      <c r="K1206" s="2213"/>
      <c r="N1206" s="2043"/>
      <c r="O1206" s="2043"/>
      <c r="Z1206" s="1924" t="s">
        <v>6775</v>
      </c>
      <c r="AA1206" s="2051">
        <v>110</v>
      </c>
    </row>
    <row r="1207" spans="1:27" s="1852" customFormat="1" ht="13.35" customHeight="1">
      <c r="A1207" s="1852" t="s">
        <v>2295</v>
      </c>
      <c r="B1207" s="2213">
        <f>'Part VII-Pro Forma'!B111</f>
        <v>-43982.960313061405</v>
      </c>
      <c r="C1207" s="2213">
        <f>'Part VII-Pro Forma'!C111</f>
        <v>-44862.61951932263</v>
      </c>
      <c r="D1207" s="2213">
        <f>'Part VII-Pro Forma'!D111</f>
        <v>-45759.871909709087</v>
      </c>
      <c r="E1207" s="2213">
        <f>'Part VII-Pro Forma'!E111</f>
        <v>-46675.069347903278</v>
      </c>
      <c r="F1207" s="2213">
        <f>'Part VII-Pro Forma'!F111</f>
        <v>-47608.570734861336</v>
      </c>
      <c r="G1207" s="2213"/>
      <c r="H1207" s="2213"/>
      <c r="I1207" s="2213"/>
      <c r="J1207" s="2213"/>
      <c r="K1207" s="2213"/>
      <c r="N1207" s="2043"/>
      <c r="O1207" s="2043"/>
      <c r="Z1207" s="1924" t="s">
        <v>6775</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6775</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6775</v>
      </c>
      <c r="AA1209" s="2051">
        <v>113</v>
      </c>
    </row>
    <row r="1210" spans="1:27" s="1852" customFormat="1" ht="13.35" customHeight="1">
      <c r="A1210" s="1852" t="s">
        <v>4015</v>
      </c>
      <c r="B1210" s="2213">
        <f>'Part VII-Pro Forma'!B114</f>
        <v>584345.0441592444</v>
      </c>
      <c r="C1210" s="2213">
        <f>'Part VII-Pro Forma'!C114</f>
        <v>596031.94504242914</v>
      </c>
      <c r="D1210" s="2213">
        <f>'Part VII-Pro Forma'!D114</f>
        <v>607952.58394327783</v>
      </c>
      <c r="E1210" s="2213">
        <f>'Part VII-Pro Forma'!E114</f>
        <v>620111.63562214351</v>
      </c>
      <c r="F1210" s="2213">
        <f>'Part VII-Pro Forma'!F114</f>
        <v>632513.86833458627</v>
      </c>
      <c r="G1210" s="2213"/>
      <c r="H1210" s="2213"/>
      <c r="I1210" s="2213"/>
      <c r="J1210" s="2213"/>
      <c r="K1210" s="2213"/>
      <c r="N1210" s="2043"/>
      <c r="O1210" s="2043"/>
      <c r="Z1210" s="1924" t="s">
        <v>6775</v>
      </c>
      <c r="AA1210" s="2051">
        <v>114</v>
      </c>
    </row>
    <row r="1211" spans="1:27" s="1852" customFormat="1" ht="13.35" customHeight="1">
      <c r="A1211" s="1852" t="s">
        <v>585</v>
      </c>
      <c r="B1211" s="2213">
        <f>'Part VII-Pro Forma'!B115</f>
        <v>-512924.2508868564</v>
      </c>
      <c r="C1211" s="2213">
        <f>'Part VII-Pro Forma'!C115</f>
        <v>-528311.97841346217</v>
      </c>
      <c r="D1211" s="2213">
        <f>'Part VII-Pro Forma'!D115</f>
        <v>-544161.33776586596</v>
      </c>
      <c r="E1211" s="2213">
        <f>'Part VII-Pro Forma'!E115</f>
        <v>-560486.17789884191</v>
      </c>
      <c r="F1211" s="2213">
        <f>'Part VII-Pro Forma'!F115</f>
        <v>-577300.76323580707</v>
      </c>
      <c r="G1211" s="2213"/>
      <c r="H1211" s="2213"/>
      <c r="I1211" s="2213"/>
      <c r="J1211" s="2213"/>
      <c r="K1211" s="2213"/>
      <c r="N1211" s="2043"/>
      <c r="O1211" s="2043"/>
      <c r="Z1211" s="1924" t="s">
        <v>6775</v>
      </c>
      <c r="AA1211" s="2051">
        <v>115</v>
      </c>
    </row>
    <row r="1212" spans="1:27" s="1852" customFormat="1" ht="13.35" customHeight="1">
      <c r="A1212" s="1852" t="s">
        <v>1075</v>
      </c>
      <c r="B1212" s="2213">
        <f>'Part VII-Pro Forma'!B116</f>
        <v>-55924</v>
      </c>
      <c r="C1212" s="2213">
        <f>'Part VII-Pro Forma'!C116</f>
        <v>-57602</v>
      </c>
      <c r="D1212" s="2213">
        <f>'Part VII-Pro Forma'!D116</f>
        <v>-59330</v>
      </c>
      <c r="E1212" s="2213">
        <f>'Part VII-Pro Forma'!E116</f>
        <v>-61110</v>
      </c>
      <c r="F1212" s="2213">
        <f>'Part VII-Pro Forma'!F116</f>
        <v>-62943</v>
      </c>
      <c r="G1212" s="2213"/>
      <c r="H1212" s="2213"/>
      <c r="I1212" s="2213"/>
      <c r="J1212" s="2213"/>
      <c r="K1212" s="2213"/>
      <c r="N1212" s="2043"/>
      <c r="O1212" s="2043"/>
      <c r="Z1212" s="1924" t="s">
        <v>6775</v>
      </c>
      <c r="AA1212" s="2051">
        <v>116</v>
      </c>
    </row>
    <row r="1213" spans="1:27" s="1852" customFormat="1" ht="13.35" customHeight="1">
      <c r="A1213" s="1852" t="s">
        <v>1156</v>
      </c>
      <c r="B1213" s="2213">
        <f>'Part VII-Pro Forma'!B117</f>
        <v>-29127.149654275909</v>
      </c>
      <c r="C1213" s="2213">
        <f>'Part VII-Pro Forma'!C117</f>
        <v>-30000.964143904192</v>
      </c>
      <c r="D1213" s="2213">
        <f>'Part VII-Pro Forma'!D117</f>
        <v>-30900.993068221313</v>
      </c>
      <c r="E1213" s="2213">
        <f>'Part VII-Pro Forma'!E117</f>
        <v>-31828.022860267953</v>
      </c>
      <c r="F1213" s="2213">
        <f>'Part VII-Pro Forma'!F117</f>
        <v>-32782.863546075983</v>
      </c>
      <c r="G1213" s="2213"/>
      <c r="H1213" s="2213"/>
      <c r="I1213" s="2213"/>
      <c r="J1213" s="2213"/>
      <c r="K1213" s="2213"/>
      <c r="N1213" s="2043"/>
      <c r="O1213" s="2043"/>
      <c r="Q1213" s="2051">
        <v>10</v>
      </c>
      <c r="R1213" s="2140">
        <f>-SUM(B1219:K1219)</f>
        <v>0</v>
      </c>
      <c r="S1213" s="2140">
        <f>SUM(B1220:K1220)+R1213</f>
        <v>0</v>
      </c>
      <c r="Z1213" s="1924" t="s">
        <v>6775</v>
      </c>
      <c r="AA1213" s="1929">
        <v>117</v>
      </c>
    </row>
    <row r="1214" spans="1:27" s="1852" customFormat="1" ht="13.35" customHeight="1">
      <c r="A1214" s="1852" t="s">
        <v>4014</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6775</v>
      </c>
      <c r="AA1214" s="2051">
        <v>118</v>
      </c>
    </row>
    <row r="1215" spans="1:27" s="1852" customFormat="1" ht="13.35" customHeight="1">
      <c r="A1215" s="1852" t="s">
        <v>1157</v>
      </c>
      <c r="B1215" s="2213">
        <f>'Part VII-Pro Forma'!B119</f>
        <v>-13630.356381887916</v>
      </c>
      <c r="C1215" s="2213">
        <f>'Part VII-Pro Forma'!C119</f>
        <v>-19882.997514937222</v>
      </c>
      <c r="D1215" s="2213">
        <f>'Part VII-Pro Forma'!D119</f>
        <v>-26439.746890809442</v>
      </c>
      <c r="E1215" s="2213">
        <f>'Part VII-Pro Forma'!E119</f>
        <v>-33312.565136966354</v>
      </c>
      <c r="F1215" s="2213">
        <f>'Part VII-Pro Forma'!F119</f>
        <v>-40512.758447296786</v>
      </c>
      <c r="G1215" s="2213"/>
      <c r="H1215" s="2213"/>
      <c r="I1215" s="2213"/>
      <c r="J1215" s="2213"/>
      <c r="K1215" s="2213"/>
      <c r="N1215" s="2043"/>
      <c r="O1215" s="2043"/>
      <c r="Z1215" s="1924" t="s">
        <v>6775</v>
      </c>
      <c r="AA1215" s="2051">
        <v>119</v>
      </c>
    </row>
    <row r="1216" spans="1:27" s="1852" customFormat="1" ht="13.35" customHeight="1">
      <c r="A1216" s="1852" t="str">
        <f>$A1186</f>
        <v>Mortgage A</v>
      </c>
      <c r="B1216" s="2214">
        <f>'Part VII-Pro Forma'!B120</f>
        <v>-53361.668851685332</v>
      </c>
      <c r="C1216" s="2214">
        <f>'Part VII-Pro Forma'!C120</f>
        <v>-53361.668851685332</v>
      </c>
      <c r="D1216" s="2214">
        <f>'Part VII-Pro Forma'!D120</f>
        <v>-53361.668851685332</v>
      </c>
      <c r="E1216" s="2214">
        <f>'Part VII-Pro Forma'!E120</f>
        <v>-53361.668851685332</v>
      </c>
      <c r="F1216" s="2214">
        <f>'Part VII-Pro Forma'!F120</f>
        <v>-53361.668851685332</v>
      </c>
      <c r="G1216" s="2213"/>
      <c r="H1216" s="2213"/>
      <c r="I1216" s="2213"/>
      <c r="J1216" s="2213"/>
      <c r="K1216" s="2213"/>
      <c r="N1216" s="2043"/>
      <c r="O1216" s="2043"/>
      <c r="Z1216" s="1924" t="s">
        <v>6775</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6775</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6775</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6775</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6775</v>
      </c>
      <c r="AA1220" s="2051">
        <v>124</v>
      </c>
    </row>
    <row r="1221" spans="1:27" s="1852" customFormat="1" ht="13.35" customHeight="1">
      <c r="A1221" s="1852" t="s">
        <v>1121</v>
      </c>
      <c r="B1221" s="2214">
        <f>'Part VII-Pro Forma'!B125</f>
        <v>-7500</v>
      </c>
      <c r="C1221" s="2214">
        <f>'Part VII-Pro Forma'!C125</f>
        <v>-7500</v>
      </c>
      <c r="D1221" s="2214">
        <f>'Part VII-Pro Forma'!D125</f>
        <v>-7500</v>
      </c>
      <c r="E1221" s="2214">
        <f>'Part VII-Pro Forma'!E125</f>
        <v>-7500</v>
      </c>
      <c r="F1221" s="2214">
        <f>'Part VII-Pro Forma'!F125</f>
        <v>-7500</v>
      </c>
      <c r="G1221" s="2213"/>
      <c r="H1221" s="2213"/>
      <c r="I1221" s="2213"/>
      <c r="J1221" s="2213"/>
      <c r="K1221" s="2213"/>
      <c r="N1221" s="2043"/>
      <c r="O1221" s="2043"/>
      <c r="Z1221" s="1924" t="s">
        <v>6775</v>
      </c>
      <c r="AA1221" s="2051">
        <v>125</v>
      </c>
    </row>
    <row r="1222" spans="1:27" s="1852" customFormat="1" ht="13.35" customHeight="1">
      <c r="A1222" s="1852" t="s">
        <v>1122</v>
      </c>
      <c r="B1222" s="2213">
        <f>'Part VII-Pro Forma'!B126</f>
        <v>-74492.025233573251</v>
      </c>
      <c r="C1222" s="2213">
        <f>'Part VII-Pro Forma'!C126</f>
        <v>-80744.66636662255</v>
      </c>
      <c r="D1222" s="2213">
        <f>'Part VII-Pro Forma'!D126</f>
        <v>-87301.415742494777</v>
      </c>
      <c r="E1222" s="2213">
        <f>'Part VII-Pro Forma'!E126</f>
        <v>-94174.233988651686</v>
      </c>
      <c r="F1222" s="2213">
        <f>'Part VII-Pro Forma'!F126</f>
        <v>-101374.42729898212</v>
      </c>
      <c r="G1222" s="2213"/>
      <c r="H1222" s="2213"/>
      <c r="I1222" s="2213"/>
      <c r="J1222" s="2213"/>
      <c r="K1222" s="2213"/>
      <c r="N1222" s="2043"/>
      <c r="O1222" s="2043"/>
      <c r="Z1222" s="1924" t="s">
        <v>6775</v>
      </c>
      <c r="AA1222" s="2051">
        <v>126</v>
      </c>
    </row>
    <row r="1223" spans="1:27" s="1852" customFormat="1" ht="13.35" customHeight="1">
      <c r="A1223" s="1852" t="str">
        <f>$A1193</f>
        <v>DCR Mortgage A</v>
      </c>
      <c r="B1223" s="2215">
        <f>'Part VII-Pro Forma'!B127</f>
        <v>-0.25543347266316663</v>
      </c>
      <c r="C1223" s="2215">
        <f>'Part VII-Pro Forma'!C127</f>
        <v>-0.37260824001214221</v>
      </c>
      <c r="D1223" s="2215">
        <f>'Part VII-Pro Forma'!D127</f>
        <v>-0.49548200908589818</v>
      </c>
      <c r="E1223" s="2215">
        <f>'Part VII-Pro Forma'!E127</f>
        <v>-0.62427892256436124</v>
      </c>
      <c r="F1223" s="2215">
        <f>'Part VII-Pro Forma'!F127</f>
        <v>-0.75921085901377805</v>
      </c>
      <c r="G1223" s="2213"/>
      <c r="H1223" s="2213"/>
      <c r="I1223" s="2213"/>
      <c r="J1223" s="2213"/>
      <c r="K1223" s="2213"/>
      <c r="N1223" s="2043"/>
      <c r="O1223" s="2043"/>
      <c r="Z1223" s="1924" t="s">
        <v>6775</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6775</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6775</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6775</v>
      </c>
      <c r="AA1226" s="2051">
        <v>130</v>
      </c>
    </row>
    <row r="1227" spans="1:27" s="1852" customFormat="1" ht="13.35" customHeight="1">
      <c r="A1227" s="1852" t="s">
        <v>3344</v>
      </c>
      <c r="B1227" s="2215">
        <f>'Part VII-Pro Forma'!B131</f>
        <v>-0.25543347266316663</v>
      </c>
      <c r="C1227" s="2215">
        <f>'Part VII-Pro Forma'!C131</f>
        <v>-0.37260824001214221</v>
      </c>
      <c r="D1227" s="2215">
        <f>'Part VII-Pro Forma'!D131</f>
        <v>-0.49548200908589818</v>
      </c>
      <c r="E1227" s="2215">
        <f>'Part VII-Pro Forma'!E131</f>
        <v>-0.62427892256436124</v>
      </c>
      <c r="F1227" s="2215">
        <f>'Part VII-Pro Forma'!F131</f>
        <v>-0.75921085901377805</v>
      </c>
      <c r="G1227" s="2213"/>
      <c r="H1227" s="2213"/>
      <c r="I1227" s="2213"/>
      <c r="J1227" s="2213"/>
      <c r="K1227" s="2213"/>
      <c r="N1227" s="2043"/>
      <c r="O1227" s="2043"/>
      <c r="Z1227" s="1924" t="s">
        <v>6775</v>
      </c>
      <c r="AA1227" s="1929">
        <v>131</v>
      </c>
    </row>
    <row r="1228" spans="1:27" s="1852" customFormat="1" ht="13.35" customHeight="1">
      <c r="A1228" s="1852" t="s">
        <v>740</v>
      </c>
      <c r="B1228" s="2215">
        <f>'Part VII-Pro Forma'!B132</f>
        <v>0.97720582423699509</v>
      </c>
      <c r="C1228" s="2215">
        <f>'Part VII-Pro Forma'!C132</f>
        <v>0.96771794911748665</v>
      </c>
      <c r="D1228" s="2215">
        <f>'Part VII-Pro Forma'!D132</f>
        <v>0.95832271986004791</v>
      </c>
      <c r="E1228" s="2215">
        <f>'Part VII-Pro Forma'!E132</f>
        <v>0.94901847054598576</v>
      </c>
      <c r="F1228" s="2215">
        <f>'Part VII-Pro Forma'!F132</f>
        <v>0.93980511790297072</v>
      </c>
      <c r="G1228" s="2213"/>
      <c r="H1228" s="2213"/>
      <c r="I1228" s="2213"/>
      <c r="J1228" s="2213"/>
      <c r="K1228" s="2213"/>
      <c r="N1228" s="2043"/>
      <c r="O1228" s="2043"/>
      <c r="Z1228" s="1924" t="s">
        <v>6775</v>
      </c>
      <c r="AA1228" s="2051">
        <v>132</v>
      </c>
    </row>
    <row r="1229" spans="1:27" s="1852" customFormat="1" ht="13.35" customHeight="1">
      <c r="A1229" s="1852" t="s">
        <v>2493</v>
      </c>
      <c r="B1229" s="2214">
        <f>'Part VII-Pro Forma'!B133</f>
        <v>-1413197.2299192802</v>
      </c>
      <c r="C1229" s="2214">
        <f>'Part VII-Pro Forma'!C133</f>
        <v>-1497626.2304290046</v>
      </c>
      <c r="D1229" s="2214">
        <f>'Part VII-Pro Forma'!D133</f>
        <v>-1583879.8388245436</v>
      </c>
      <c r="E1229" s="2214">
        <f>'Part VII-Pro Forma'!E133</f>
        <v>-1671997.4869825847</v>
      </c>
      <c r="F1229" s="2214">
        <f>'Part VII-Pro Forma'!F133</f>
        <v>-1762019.4589480602</v>
      </c>
      <c r="G1229" s="2213"/>
      <c r="H1229" s="2213"/>
      <c r="I1229" s="2213"/>
      <c r="J1229" s="2213"/>
      <c r="K1229" s="2213"/>
      <c r="N1229" s="2043"/>
      <c r="O1229" s="2043"/>
      <c r="Z1229" s="1924" t="s">
        <v>6775</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6775</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6775</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6775</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APPLICANTS: Explain any any debt service payment amounts that deviate from the amount shown in Permanent Sources (Part III)</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2021-014 Dunbar Court,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7104</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 xml:space="preserve">Applicant belives that the proposed project feasible, viable and in conformance with the plan. The overall development and construction costs are considered reasonable and were evaluated by an experienced General Contractor and Engineer. 2021 QAP defined Residential Square Footage: 1BR/1BA = 856 SF; 2BR/2BA = 1,081 SF; 3BR/2BA = 1,290 SF. Total Residential SF = 53,432 SF.
</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4134</v>
      </c>
      <c r="Q1279" s="1875"/>
    </row>
    <row r="1280" spans="1:32" s="1852" customFormat="1" ht="10.5" customHeight="1">
      <c r="D1280" s="2231" t="s">
        <v>2561</v>
      </c>
      <c r="F1280" s="2112" t="s">
        <v>3188</v>
      </c>
      <c r="G1280" s="2112" t="s">
        <v>4078</v>
      </c>
      <c r="H1280" s="2112"/>
      <c r="I1280" s="2112"/>
      <c r="K1280" s="2112" t="s">
        <v>3188</v>
      </c>
      <c r="L1280" s="2112" t="s">
        <v>4077</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174415.19999999998</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191856.72</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216214.94999999998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237836.44500000001</v>
      </c>
      <c r="M1282" s="2121" t="str">
        <f>CONCATENATE("x ", K1282," units = ")</f>
        <v xml:space="preserve">x  units = </v>
      </c>
      <c r="N1282" s="2052" t="str">
        <f>IF(K1282="","",K1282*L1282)</f>
        <v/>
      </c>
      <c r="O1282" s="2228"/>
      <c r="P1282" s="2216" t="str">
        <f>IF('Part I-Project Information'!$F$39="","",VLOOKUP('Part I-Project Information'!$J$40,'DCA Underwriting Assumptions'!$G$174:$N$333,8,FALSE))</f>
        <v>Macon</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258666.05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284532.65500000003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294950.7</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324445.77</v>
      </c>
      <c r="M1284" s="2121" t="str">
        <f>CONCATENATE("x ", K1284," units = ")</f>
        <v xml:space="preserve">x  units = </v>
      </c>
      <c r="N1284" s="2052" t="str">
        <f>IF(K1284="","",K1284*L1284)</f>
        <v/>
      </c>
      <c r="O1284" s="2228"/>
      <c r="P1284" s="435" t="s">
        <v>4135</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347504.30000000005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382254.7300000001</v>
      </c>
      <c r="M1285" s="2121" t="str">
        <f>CONCATENATE("x ", K1285," units = ")</f>
        <v xml:space="preserve">x  units = </v>
      </c>
      <c r="N1285" s="2052" t="str">
        <f>IF(K1285="","",K1285*L1285)</f>
        <v/>
      </c>
      <c r="O1285" s="2228"/>
      <c r="P1285" s="2235">
        <f>'Part IV-A-Uses of Funds'!$G$146</f>
        <v>11656720</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4121</v>
      </c>
      <c r="Q1286" s="435"/>
      <c r="R1286" s="2242" t="s">
        <v>6610</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150195.6</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165215.16000000003</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11209553</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187915.75</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206707.32500000001</v>
      </c>
      <c r="M1289" s="2121" t="str">
        <f>CONCATENATE("x ", K1289," units = ")</f>
        <v xml:space="preserve">x  units = </v>
      </c>
      <c r="N1289" s="2052" t="str">
        <f>IF(K1289="","",K1289*L1289)</f>
        <v/>
      </c>
      <c r="P1289" s="1864" t="s">
        <v>3513</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227675.84999999998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250443.435</v>
      </c>
      <c r="M1290" s="2121" t="str">
        <f>CONCATENATE("x ", K1290," units = ")</f>
        <v xml:space="preserve">x  units = </v>
      </c>
      <c r="N1290" s="2052" t="str">
        <f>IF(K1290="","",K1290*L1290)</f>
        <v/>
      </c>
      <c r="O1290" s="2108"/>
      <c r="P1290" s="2243"/>
      <c r="Q1290" s="2243"/>
      <c r="R1290" s="2488"/>
      <c r="S1290" s="2244" t="s">
        <v>7105</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265751.2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292326.32000000007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314882.7</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346370.97000000003</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134443.19999999998</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147887.51999999999</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f>IF('Part VI-Revenues &amp; Expenses'!$L$151 =0,"",'Part VI-Revenues &amp; Expenses'!$L$151)</f>
        <v>8</v>
      </c>
      <c r="G1296" s="2234">
        <f>'Part VIII-Threshold Criteria'!G56</f>
        <v>175596.94999999998</v>
      </c>
      <c r="H1296" s="2121" t="str">
        <f>CONCATENATE("x ", F1296," units = ")</f>
        <v xml:space="preserve">x 8 units = </v>
      </c>
      <c r="I1296" s="2052">
        <f>IF(F1296="","",F1296*G1296)</f>
        <v>1404775.5999999999</v>
      </c>
      <c r="J1296" s="1818"/>
      <c r="K1296" s="2233" t="str">
        <f>IF('Part VI-Revenues &amp; Expenses'!$L$152 =0,"",'Part VI-Revenues &amp; Expenses'!$L$152)</f>
        <v/>
      </c>
      <c r="L1296" s="2234">
        <f>G1296*(1+'DCA Underwriting Assumptions'!$Q$12)</f>
        <v>193156.64499999999</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f>IF('Part VI-Revenues &amp; Expenses'!$M$151 =0,"",'Part VI-Revenues &amp; Expenses'!$M$151)</f>
        <v>24</v>
      </c>
      <c r="G1297" s="2234">
        <f>'Part VIII-Threshold Criteria'!G57</f>
        <v>222191.49999999997</v>
      </c>
      <c r="H1297" s="2121" t="str">
        <f>CONCATENATE("x ", F1297," units = ")</f>
        <v xml:space="preserve">x 24 units = </v>
      </c>
      <c r="I1297" s="2052">
        <f>IF(F1297="","",F1297*G1297)</f>
        <v>5332595.9999999991</v>
      </c>
      <c r="J1297" s="1818"/>
      <c r="K1297" s="2233" t="str">
        <f>IF('Part VI-Revenues &amp; Expenses'!$M$152 =0,"",'Part VI-Revenues &amp; Expenses'!$M$152)</f>
        <v/>
      </c>
      <c r="L1297" s="2234">
        <f>G1297*(1+'DCA Underwriting Assumptions'!$Q$12)</f>
        <v>244410.65</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f>IF('Part VI-Revenues &amp; Expenses'!$N$151 =0,"",'Part VI-Revenues &amp; Expenses'!$N$151)</f>
        <v>16</v>
      </c>
      <c r="G1298" s="2234">
        <f>'Part VIII-Threshold Criteria'!G58</f>
        <v>279910.40000000002</v>
      </c>
      <c r="H1298" s="2121" t="str">
        <f>CONCATENATE("x ", F1298," units = ")</f>
        <v xml:space="preserve">x 16 units = </v>
      </c>
      <c r="I1298" s="2052">
        <f>IF(F1298="","",F1298*G1298)</f>
        <v>4478566.4000000004</v>
      </c>
      <c r="J1298" s="1818"/>
      <c r="K1298" s="2233" t="str">
        <f>IF('Part VI-Revenues &amp; Expenses'!$N$152 =0,"",'Part VI-Revenues &amp; Expenses'!$N$152)</f>
        <v/>
      </c>
      <c r="L1298" s="2234">
        <f>G1298*(1+'DCA Underwriting Assumptions'!$Q$12)</f>
        <v>307901.44000000006</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346640.80000000005</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381304.88000000006</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48</v>
      </c>
      <c r="G1300" s="2238"/>
      <c r="H1300" s="2239"/>
      <c r="I1300" s="2240">
        <f>SUM(I1295:I1299)</f>
        <v>11215938</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135945.60000000001</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149540.16000000003</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182393.44999999998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200632.79499999998</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11215938</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234505.69999999998</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257956.27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299079</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328986.90000000002</v>
      </c>
      <c r="M1305" s="2121" t="str">
        <f>CONCATENATE("x ", K1305," units = ")</f>
        <v xml:space="preserve">x  units = </v>
      </c>
      <c r="N1305" s="2052" t="str">
        <f>IF(K1305="","",K1305*L1305)</f>
        <v/>
      </c>
      <c r="P1305" s="2229" t="s">
        <v>6847</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373849.30000000005</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411234.2300000001</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48</v>
      </c>
      <c r="G1309" s="1875"/>
      <c r="H1309" s="1995">
        <f>I1286+I1293+I1300+I1307</f>
        <v>11215938</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Total Development costs are below the project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6433</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6434</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The applicant is targeting a family tenancy.</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3950</v>
      </c>
      <c r="M1319" s="2251" t="s">
        <v>3951</v>
      </c>
      <c r="O1319" s="2224" t="s">
        <v>1781</v>
      </c>
      <c r="P1319" s="1719"/>
      <c r="Q1319" s="1719"/>
    </row>
    <row r="1320" spans="1:31" s="1852" customFormat="1" ht="1.5" customHeight="1"/>
    <row r="1321" spans="1:31" s="1852" customFormat="1" ht="12" customHeight="1">
      <c r="A1321" s="2224" t="s">
        <v>1893</v>
      </c>
      <c r="B1321" s="2223" t="s">
        <v>3944</v>
      </c>
      <c r="C1321" s="2223"/>
      <c r="D1321" s="2223"/>
      <c r="E1321" s="2223"/>
      <c r="F1321" s="2223"/>
      <c r="G1321" s="2223"/>
      <c r="H1321" s="2223"/>
      <c r="I1321" s="2223"/>
      <c r="J1321" s="2223"/>
      <c r="L1321" s="2252" t="s">
        <v>2698</v>
      </c>
      <c r="M1321" s="2055">
        <v>2</v>
      </c>
      <c r="N1321" s="2223" t="s">
        <v>4225</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3949</v>
      </c>
      <c r="M1322" s="2252">
        <v>4</v>
      </c>
      <c r="O1322" s="2223"/>
      <c r="P1322" s="2111"/>
      <c r="Q1322" s="435"/>
    </row>
    <row r="1323" spans="1:31" s="1852" customFormat="1" ht="12" customHeight="1">
      <c r="A1323" s="2224"/>
      <c r="D1323" s="2228"/>
      <c r="E1323" s="2228"/>
      <c r="F1323" s="2228"/>
      <c r="G1323" s="2228"/>
      <c r="H1323" s="2228"/>
      <c r="I1323" s="2228"/>
      <c r="J1323" s="2228"/>
      <c r="L1323" s="2228" t="s">
        <v>6411</v>
      </c>
      <c r="M1323" s="2252"/>
      <c r="O1323" s="2223"/>
      <c r="P1323" s="2253">
        <f>'Part VIII-Threshold Criteria'!P83</f>
        <v>2</v>
      </c>
      <c r="Q1323" s="2254"/>
    </row>
    <row r="1324" spans="1:31" s="1852" customFormat="1" ht="12" customHeight="1">
      <c r="A1324" s="2255" t="s">
        <v>1895</v>
      </c>
      <c r="B1324" s="2223" t="s">
        <v>3952</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3956</v>
      </c>
      <c r="D1325" s="2223"/>
      <c r="E1325" s="2223"/>
      <c r="F1325" s="2223"/>
      <c r="G1325" s="2223"/>
      <c r="H1325" s="2223"/>
      <c r="I1325" s="2223"/>
      <c r="J1325" s="2223"/>
      <c r="K1325" s="2223"/>
      <c r="L1325" s="2223"/>
      <c r="N1325" s="2223" t="s">
        <v>4226</v>
      </c>
      <c r="O1325" s="2256"/>
      <c r="P1325" s="2230" t="str">
        <f>'Part VIII-Threshold Criteria'!P85</f>
        <v>N/ap</v>
      </c>
      <c r="Q1325" s="2164"/>
    </row>
    <row r="1326" spans="1:31" s="1852" customFormat="1" ht="12.75" customHeight="1">
      <c r="A1326" s="2255"/>
      <c r="B1326" s="2228" t="s">
        <v>1659</v>
      </c>
      <c r="C1326" s="2223" t="s">
        <v>3953</v>
      </c>
      <c r="D1326" s="2223"/>
      <c r="E1326" s="2223"/>
      <c r="F1326" s="2223"/>
      <c r="G1326" s="2223"/>
      <c r="H1326" s="2223"/>
      <c r="I1326" s="2223"/>
      <c r="J1326" s="2223"/>
      <c r="K1326" s="2223"/>
      <c r="L1326" s="2223"/>
      <c r="N1326" s="2223" t="s">
        <v>4227</v>
      </c>
      <c r="O1326" s="2256"/>
      <c r="P1326" s="2230" t="str">
        <f>'Part VIII-Threshold Criteria'!P86</f>
        <v>Agree</v>
      </c>
      <c r="Q1326" s="2164"/>
    </row>
    <row r="1327" spans="1:31" s="1852" customFormat="1" ht="12.75" customHeight="1">
      <c r="A1327" s="2224"/>
      <c r="B1327" s="2228" t="s">
        <v>1660</v>
      </c>
      <c r="C1327" s="2223" t="s">
        <v>3954</v>
      </c>
      <c r="E1327" s="2223"/>
      <c r="F1327" s="2223"/>
      <c r="G1327" s="2223"/>
      <c r="H1327" s="2223"/>
      <c r="I1327" s="2223"/>
      <c r="J1327" s="2223"/>
      <c r="K1327" s="2223"/>
      <c r="L1327" s="2223"/>
      <c r="M1327" s="2256"/>
      <c r="N1327" s="2223" t="s">
        <v>4228</v>
      </c>
      <c r="O1327" s="2256"/>
      <c r="P1327" s="2230" t="str">
        <f>'Part VIII-Threshold Criteria'!P87</f>
        <v>Agree</v>
      </c>
      <c r="Q1327" s="2164"/>
    </row>
    <row r="1328" spans="1:31" s="1852" customFormat="1" ht="12.75" customHeight="1">
      <c r="A1328" s="2257"/>
      <c r="B1328" s="2228" t="s">
        <v>2260</v>
      </c>
      <c r="C1328" s="2228" t="s">
        <v>3957</v>
      </c>
      <c r="D1328" s="435"/>
      <c r="E1328" s="435"/>
      <c r="F1328" s="435"/>
      <c r="G1328" s="435"/>
      <c r="H1328" s="435"/>
      <c r="I1328" s="1818"/>
      <c r="J1328" s="1818"/>
      <c r="N1328" s="2223" t="s">
        <v>4229</v>
      </c>
      <c r="O1328" s="2256"/>
      <c r="P1328" s="2230" t="str">
        <f>'Part VIII-Threshold Criteria'!P88</f>
        <v>N/Ap</v>
      </c>
      <c r="Q1328" s="2164"/>
    </row>
    <row r="1329" spans="1:31" s="1852" customFormat="1" ht="12.75" customHeight="1">
      <c r="A1329" s="2257"/>
      <c r="B1329" s="2228"/>
      <c r="C1329" s="2223" t="s">
        <v>3958</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3955</v>
      </c>
      <c r="D1330" s="2223"/>
      <c r="E1330" s="2223"/>
      <c r="F1330" s="2223"/>
      <c r="G1330" s="2223"/>
      <c r="H1330" s="2223"/>
      <c r="I1330" s="2223"/>
      <c r="J1330" s="2223"/>
      <c r="K1330" s="2223"/>
      <c r="L1330" s="2223"/>
      <c r="M1330" s="2112"/>
      <c r="N1330" s="2223" t="s">
        <v>4230</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The Applicant agrees to provide the required services.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4221</v>
      </c>
      <c r="C1335" s="2105"/>
      <c r="D1335" s="2228"/>
      <c r="E1335" s="2228"/>
      <c r="F1335" s="2228"/>
      <c r="G1335" s="2228"/>
      <c r="H1335" s="2164" t="str">
        <f>'Part I-Project Information'!$K$41</f>
        <v>Rural</v>
      </c>
      <c r="J1335" s="2255" t="s">
        <v>4224</v>
      </c>
      <c r="K1335" s="435" t="str">
        <f>'Part I-Project Information'!$H$105</f>
        <v>Rural</v>
      </c>
      <c r="L1335" s="2255" t="s">
        <v>3987</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Novogradac &amp; Company, LLP</v>
      </c>
      <c r="N1337" s="2111"/>
      <c r="O1337" s="2111"/>
      <c r="P1337" s="1976"/>
      <c r="Q1337" s="2164"/>
    </row>
    <row r="1338" spans="1:31" s="1852" customFormat="1" ht="12.75" customHeight="1">
      <c r="A1338" s="2255" t="s">
        <v>1895</v>
      </c>
      <c r="B1338" s="435" t="s">
        <v>4147</v>
      </c>
      <c r="D1338" s="435"/>
      <c r="E1338" s="435"/>
      <c r="F1338" s="435"/>
      <c r="L1338" s="2255" t="s">
        <v>1895</v>
      </c>
      <c r="M1338" s="2111" t="str">
        <f>'Part VIII-Threshold Criteria'!M98</f>
        <v>2-3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0.98699999999999999</v>
      </c>
      <c r="N1339" s="2258"/>
      <c r="O1339" s="2258"/>
      <c r="P1339" s="2259"/>
      <c r="Q1339" s="2164"/>
    </row>
    <row r="1340" spans="1:31" s="1852" customFormat="1" ht="12.75" customHeight="1">
      <c r="A1340" s="2255" t="s">
        <v>2021</v>
      </c>
      <c r="B1340" s="435" t="s">
        <v>3444</v>
      </c>
      <c r="D1340" s="435"/>
      <c r="E1340" s="435"/>
      <c r="F1340" s="435"/>
      <c r="J1340" s="2255" t="s">
        <v>3445</v>
      </c>
      <c r="K1340" s="2260">
        <f>'Part VIII-Threshold Criteria'!K100</f>
        <v>2.1999999999999999E-2</v>
      </c>
      <c r="L1340" s="2261"/>
      <c r="N1340" s="2262"/>
      <c r="O1340" s="2263" t="s">
        <v>3541</v>
      </c>
      <c r="P1340" s="2260" t="str">
        <f>'Part VIII-Threshold Criteria'!P100</f>
        <v>NA</v>
      </c>
      <c r="Q1340" s="2261"/>
    </row>
    <row r="1341" spans="1:31" s="1852" customFormat="1" ht="12.75" customHeight="1">
      <c r="A1341" s="2255" t="s">
        <v>1656</v>
      </c>
      <c r="B1341" s="435" t="s">
        <v>4148</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2020-085</v>
      </c>
      <c r="E1343" s="2111" t="str">
        <f>'Part VIII-Threshold Criteria'!E103</f>
        <v>Abbington at Galleria Mall</v>
      </c>
      <c r="F1343" s="2111"/>
      <c r="G1343" s="2111"/>
      <c r="H1343" s="2255" t="s">
        <v>1660</v>
      </c>
      <c r="I1343" s="2230" t="str">
        <f>'Part VIII-Threshold Criteria'!I103</f>
        <v>1999-023</v>
      </c>
      <c r="J1343" s="2111" t="str">
        <f>'Part VIII-Threshold Criteria'!J103</f>
        <v>Austin Pointe</v>
      </c>
      <c r="K1343" s="2111"/>
      <c r="L1343" s="2111"/>
      <c r="M1343" s="2255" t="s">
        <v>1487</v>
      </c>
      <c r="N1343" s="2230" t="str">
        <f>'Part VIII-Threshold Criteria'!N103</f>
        <v>1997-037</v>
      </c>
      <c r="O1343" s="2111" t="str">
        <f>'Part VIII-Threshold Criteria'!O103</f>
        <v>Robins Landing</v>
      </c>
      <c r="P1343" s="2111"/>
      <c r="Q1343" s="2111"/>
    </row>
    <row r="1344" spans="1:31" s="1852" customFormat="1" ht="12.75" customHeight="1">
      <c r="C1344" s="2255" t="s">
        <v>1659</v>
      </c>
      <c r="D1344" s="2230" t="str">
        <f>'Part VIII-Threshold Criteria'!D104</f>
        <v>2017-025</v>
      </c>
      <c r="E1344" s="2111" t="str">
        <f>'Part VIII-Threshold Criteria'!E104</f>
        <v>The Pines at Westdale</v>
      </c>
      <c r="F1344" s="2111"/>
      <c r="G1344" s="2111"/>
      <c r="H1344" s="2255" t="s">
        <v>2260</v>
      </c>
      <c r="I1344" s="2230" t="str">
        <f>'Part VIII-Threshold Criteria'!I104</f>
        <v>1999-060</v>
      </c>
      <c r="J1344" s="2111" t="str">
        <f>'Part VIII-Threshold Criteria'!J104</f>
        <v>Pacific Park Apartments</v>
      </c>
      <c r="K1344" s="2111"/>
      <c r="L1344" s="2111"/>
      <c r="M1344" s="2255" t="s">
        <v>1488</v>
      </c>
      <c r="N1344" s="2230" t="str">
        <f>'Part VIII-Threshold Criteria'!N104</f>
        <v>2001-F015</v>
      </c>
      <c r="O1344" s="2111" t="str">
        <f>'Part VIII-Threshold Criteria'!O104</f>
        <v>Lake Vista Apartments</v>
      </c>
      <c r="P1344" s="2111"/>
      <c r="Q1344" s="2111"/>
    </row>
    <row r="1345" spans="1:31" s="1852" customFormat="1" ht="12.75" customHeight="1">
      <c r="A1345" s="2255" t="s">
        <v>1657</v>
      </c>
      <c r="B1345" s="435" t="s">
        <v>6325</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6327</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6329</v>
      </c>
      <c r="D1347" s="435"/>
      <c r="E1347" s="435"/>
      <c r="F1347" s="435"/>
      <c r="G1347" s="435"/>
      <c r="H1347" s="435"/>
      <c r="I1347" s="1818"/>
      <c r="J1347" s="1818"/>
      <c r="K1347" s="435"/>
      <c r="L1347" s="2121"/>
      <c r="M1347" s="2121"/>
      <c r="O1347" s="2255" t="s">
        <v>3124</v>
      </c>
      <c r="P1347" s="2260">
        <f>'Part VIII-Threshold Criteria'!P107</f>
        <v>0.95</v>
      </c>
      <c r="Q1347" s="2261"/>
    </row>
    <row r="1348" spans="1:31" s="2158" customFormat="1" ht="60" customHeight="1">
      <c r="A1348" s="2224" t="s">
        <v>586</v>
      </c>
      <c r="B1348" s="2223" t="s">
        <v>7030</v>
      </c>
      <c r="C1348" s="2223"/>
      <c r="D1348" s="2223"/>
      <c r="E1348" s="2223"/>
      <c r="F1348" s="2223"/>
      <c r="G1348" s="2223"/>
      <c r="H1348" s="2223"/>
      <c r="I1348" s="2223"/>
      <c r="J1348" s="2223"/>
      <c r="K1348" s="2223"/>
      <c r="L1348" s="2223"/>
      <c r="M1348" s="2223"/>
      <c r="N1348" s="2223"/>
      <c r="O1348" s="2224" t="s">
        <v>6328</v>
      </c>
      <c r="P1348" s="2264" t="str">
        <f>'Part VIII-Threshold Criteria'!P108</f>
        <v>Yes</v>
      </c>
      <c r="Q1348" s="2252"/>
    </row>
    <row r="1349" spans="1:31" s="1818" customFormat="1" ht="12.75" customHeight="1">
      <c r="A1349" s="2255"/>
      <c r="B1349" s="2228" t="s">
        <v>1659</v>
      </c>
      <c r="C1349" s="435" t="s">
        <v>4277</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Please see the market study located in Tab 5 of the Application. Demand for the proposed development is particularly strong, with an overall vacancy rate of the stabilized comps of just 1.3%. The 3rd party market analyst believes the proposed project will not have an adverse financial impact on the pending DCA-funded property, Abbington at Galleria Mall. In addition to the properties above other DCA-funded properties within the primary market area include: Heathrow Senior Village (DCA # 2004-016), Peach Place Apartments (DCA # 2012-031), Potemkin Senior Village (DCA # 2014-046), Ridgecrest Apartments (DCA # 2001-008), Saint Andrews Court (DCA# 2016-062) and Tupelo Ridge (DCA # 2017-025). There are two DCA funded properties in the City of Byron, both are senior tenancy.</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4231</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4013</v>
      </c>
      <c r="O1358" s="2255" t="s">
        <v>1659</v>
      </c>
      <c r="P1358" s="2230">
        <f>'Part VIII-Threshold Criteria'!P118</f>
        <v>0</v>
      </c>
      <c r="Q1358" s="2164"/>
    </row>
    <row r="1359" spans="1:31" s="1818" customFormat="1" ht="12.75" customHeight="1">
      <c r="B1359" s="2228" t="s">
        <v>1660</v>
      </c>
      <c r="C1359" s="435" t="s">
        <v>4258</v>
      </c>
      <c r="O1359" s="2224" t="s">
        <v>1660</v>
      </c>
      <c r="P1359" s="2265">
        <f>'Part VIII-Threshold Criteria'!P119</f>
        <v>0</v>
      </c>
      <c r="Q1359" s="2266"/>
    </row>
    <row r="1360" spans="1:31" s="1852" customFormat="1" ht="12.75" customHeight="1">
      <c r="A1360" s="2164"/>
      <c r="B1360" s="2228" t="s">
        <v>2260</v>
      </c>
      <c r="C1360" s="2121" t="s">
        <v>3959</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4150</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4149</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4280</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4279</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 application does not include an appraisal and there is not an identity of interest between the buyer and seller of the property.</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6440</v>
      </c>
      <c r="D1374" s="435"/>
      <c r="E1374" s="435"/>
      <c r="F1374" s="435"/>
      <c r="G1374" s="435"/>
      <c r="H1374" s="435"/>
      <c r="I1374" s="1818"/>
      <c r="J1374" s="1818"/>
      <c r="K1374" s="2255" t="s">
        <v>1893</v>
      </c>
      <c r="L1374" s="2183" t="str">
        <f>'Part VIII-Threshold Criteria'!L134</f>
        <v>Geotechnical &amp; Environmental Consultants, Inc</v>
      </c>
      <c r="M1374" s="2183"/>
      <c r="N1374" s="2183"/>
      <c r="O1374" s="2183"/>
      <c r="P1374" s="2183"/>
      <c r="Q1374" s="2164"/>
    </row>
    <row r="1375" spans="1:31" s="1852" customFormat="1" ht="12" customHeight="1">
      <c r="B1375" s="2112" t="s">
        <v>6441</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Geotechnical &amp; Environmental Consultants, Inc</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t="str">
        <f>'Part VIII-Threshold Criteria'!P139</f>
        <v>56.0 dB</v>
      </c>
      <c r="Q1379" s="2164"/>
    </row>
    <row r="1380" spans="1:17" s="1852" customFormat="1" ht="12" customHeight="1">
      <c r="A1380" s="2141"/>
      <c r="B1380" s="2121" t="s">
        <v>1660</v>
      </c>
      <c r="C1380" s="435" t="s">
        <v>3945</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4040</v>
      </c>
      <c r="I1382" s="435" t="s">
        <v>6330</v>
      </c>
      <c r="K1382" s="2230" t="str">
        <f>'Part VIII-Threshold Criteria'!K142</f>
        <v>No</v>
      </c>
      <c r="L1382" s="2164"/>
      <c r="M1382" s="2255" t="s">
        <v>4044</v>
      </c>
      <c r="N1382" s="2112" t="s">
        <v>3418</v>
      </c>
      <c r="O1382" s="2121"/>
      <c r="P1382" s="2230" t="str">
        <f>'Part VIII-Threshold Criteria'!P142</f>
        <v>No</v>
      </c>
      <c r="Q1382" s="2164"/>
    </row>
    <row r="1383" spans="1:17" s="1852" customFormat="1" ht="12.75" customHeight="1">
      <c r="B1383" s="2121" t="s">
        <v>1659</v>
      </c>
      <c r="C1383" s="435" t="s">
        <v>6442</v>
      </c>
      <c r="E1383" s="435"/>
      <c r="F1383" s="2230" t="str">
        <f>'Part VIII-Threshold Criteria'!F143</f>
        <v>No</v>
      </c>
      <c r="G1383" s="2164"/>
      <c r="H1383" s="2255" t="s">
        <v>4041</v>
      </c>
      <c r="I1383" s="435" t="s">
        <v>6331</v>
      </c>
      <c r="K1383" s="2230" t="str">
        <f>'Part VIII-Threshold Criteria'!K143</f>
        <v>No</v>
      </c>
      <c r="L1383" s="2164"/>
      <c r="M1383" s="2255" t="s">
        <v>4045</v>
      </c>
      <c r="N1383" s="435" t="s">
        <v>1489</v>
      </c>
      <c r="P1383" s="2230" t="str">
        <f>'Part VIII-Threshold Criteria'!P143</f>
        <v>No</v>
      </c>
      <c r="Q1383" s="2164"/>
    </row>
    <row r="1384" spans="1:17" s="1852" customFormat="1" ht="12" customHeight="1">
      <c r="A1384" s="435"/>
      <c r="B1384" s="2121" t="s">
        <v>1660</v>
      </c>
      <c r="C1384" s="435" t="s">
        <v>6443</v>
      </c>
      <c r="E1384" s="435"/>
      <c r="F1384" s="2230" t="str">
        <f>'Part VIII-Threshold Criteria'!F144</f>
        <v>No</v>
      </c>
      <c r="G1384" s="2164"/>
      <c r="H1384" s="2255" t="s">
        <v>4042</v>
      </c>
      <c r="I1384" s="2112" t="s">
        <v>6444</v>
      </c>
      <c r="K1384" s="2230" t="str">
        <f>'Part VIII-Threshold Criteria'!K144</f>
        <v>No</v>
      </c>
      <c r="L1384" s="2164"/>
      <c r="M1384" s="2255" t="s">
        <v>6445</v>
      </c>
      <c r="N1384" s="2112" t="s">
        <v>6332</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4043</v>
      </c>
      <c r="I1385" s="2223" t="s">
        <v>6447</v>
      </c>
      <c r="J1385" s="2223"/>
      <c r="K1385" s="2223"/>
      <c r="M1385" s="2255" t="s">
        <v>6446</v>
      </c>
      <c r="N1385" s="435" t="s">
        <v>141</v>
      </c>
      <c r="P1385" s="2230" t="str">
        <f>'Part VIII-Threshold Criteria'!P145</f>
        <v>No</v>
      </c>
      <c r="Q1385" s="2164"/>
    </row>
    <row r="1386" spans="1:17" s="1852" customFormat="1" ht="12" customHeight="1">
      <c r="A1386" s="435"/>
      <c r="B1386" s="2255" t="s">
        <v>4039</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6466</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4026</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4151</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7106</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Please see Tab 7 for the Phase 1 Environmental report.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7031</v>
      </c>
      <c r="D1403" s="435"/>
      <c r="E1403" s="435"/>
      <c r="F1403" s="435"/>
      <c r="G1403" s="435"/>
      <c r="K1403" s="435" t="s">
        <v>2555</v>
      </c>
      <c r="M1403" s="2267">
        <f>'Part VIII-Threshold Criteria'!M163</f>
        <v>44561</v>
      </c>
      <c r="N1403" s="2267"/>
      <c r="O1403" s="2255" t="s">
        <v>1658</v>
      </c>
      <c r="P1403" s="2230" t="str">
        <f>'Part VIII-Threshold Criteria'!P163</f>
        <v>Yes</v>
      </c>
      <c r="Q1403" s="2164"/>
    </row>
    <row r="1404" spans="1:31" s="1852" customFormat="1" ht="12" customHeight="1">
      <c r="A1404" s="2255"/>
      <c r="B1404" s="2121" t="s">
        <v>1659</v>
      </c>
      <c r="C1404" s="435" t="s">
        <v>7032</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Dunbar Court, LP</v>
      </c>
      <c r="L1406" s="2111"/>
      <c r="M1406" s="2111"/>
      <c r="N1406" s="2111"/>
      <c r="O1406" s="2111"/>
      <c r="P1406" s="2111"/>
      <c r="Q1406" s="2164"/>
    </row>
    <row r="1407" spans="1:31" s="1852" customFormat="1" ht="21.75" customHeight="1">
      <c r="A1407" s="2224" t="s">
        <v>2021</v>
      </c>
      <c r="B1407" s="2223" t="s">
        <v>6448</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Please see Tab 8 for site control through November 30, 2021.</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3366</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3960</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4008</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site is accessible via a legally accessible paved road and the appropriate drawings and other documentation relfecting the paved roads is included in the application.</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6378</v>
      </c>
      <c r="O1423" s="2224" t="s">
        <v>1781</v>
      </c>
      <c r="P1423" s="1719"/>
      <c r="Q1423" s="1719"/>
    </row>
    <row r="1424" spans="1:44" s="1852" customFormat="1" ht="11.45" customHeight="1">
      <c r="B1424" s="2112" t="s">
        <v>6449</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6334</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4010</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7107</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3446</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Documentation confirming that zoning is in place is in tab 10 of the application.</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6378</v>
      </c>
      <c r="G1441" s="2228"/>
      <c r="J1441" s="2223"/>
      <c r="K1441" s="2223"/>
      <c r="L1441" s="2223"/>
      <c r="M1441" s="2223"/>
      <c r="N1441" s="2223"/>
      <c r="O1441" s="2224" t="s">
        <v>1781</v>
      </c>
      <c r="P1441" s="1719"/>
      <c r="Q1441" s="1719"/>
    </row>
    <row r="1442" spans="1:44" s="1852" customFormat="1" ht="12.75" customHeight="1">
      <c r="B1442" s="2112" t="s">
        <v>6449</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f>'Part VIII-Threshold Criteria'!J204</f>
        <v>0</v>
      </c>
      <c r="K1444" s="2111"/>
      <c r="L1444" s="2111"/>
      <c r="M1444" s="2111"/>
      <c r="N1444" s="2111"/>
      <c r="O1444" s="2255" t="s">
        <v>1658</v>
      </c>
      <c r="P1444" s="2230">
        <f>'Part VIII-Threshold Criteria'!P204</f>
        <v>0</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Georgia Power Company</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Please see Tab 11 for the letter of availibility from Georgia Power.</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6379</v>
      </c>
      <c r="J1450" s="2228"/>
      <c r="K1450" s="2228"/>
      <c r="L1450" s="2228"/>
      <c r="M1450" s="2228"/>
      <c r="O1450" s="2224" t="s">
        <v>1781</v>
      </c>
      <c r="P1450" s="1719"/>
      <c r="Q1450" s="1719"/>
    </row>
    <row r="1451" spans="1:44" s="1852" customFormat="1" ht="12.75" customHeight="1">
      <c r="B1451" s="2112" t="s">
        <v>6449</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Byron</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Byron</v>
      </c>
      <c r="K1453" s="2111"/>
      <c r="L1453" s="2111"/>
      <c r="M1453" s="2111"/>
      <c r="N1453" s="2111"/>
      <c r="O1453" s="2224" t="s">
        <v>1659</v>
      </c>
      <c r="P1453" s="2230" t="str">
        <f>'Part VIII-Threshold Criteria'!P213</f>
        <v>Yes</v>
      </c>
      <c r="Q1453" s="2164"/>
    </row>
    <row r="1454" spans="1:44" s="1852" customFormat="1" ht="12.75" customHeight="1">
      <c r="A1454" s="2224" t="s">
        <v>1895</v>
      </c>
      <c r="B1454" s="435" t="s">
        <v>3450</v>
      </c>
      <c r="D1454" s="435"/>
      <c r="E1454" s="435"/>
      <c r="F1454" s="435"/>
      <c r="G1454" s="435"/>
      <c r="H1454" s="435"/>
      <c r="I1454" s="435"/>
      <c r="J1454" s="435"/>
      <c r="K1454" s="1818"/>
      <c r="L1454" s="435"/>
      <c r="M1454" s="435"/>
      <c r="O1454" s="2255" t="s">
        <v>1895</v>
      </c>
      <c r="P1454" s="2230">
        <f>'Part VIII-Threshold Criteria'!P214</f>
        <v>0</v>
      </c>
      <c r="Q1454" s="2164"/>
    </row>
    <row r="1455" spans="1:44" s="1852" customFormat="1" ht="12.75" customHeight="1">
      <c r="A1455" s="2255" t="s">
        <v>719</v>
      </c>
      <c r="B1455" s="435" t="s">
        <v>3451</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Please see Tab 12 for letter of availibility from the City of Byron.</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7108</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Building</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3946</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3947</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7109</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7033</v>
      </c>
      <c r="D1468" s="435"/>
      <c r="E1468" s="435"/>
      <c r="F1468" s="435"/>
      <c r="G1468" s="435"/>
      <c r="H1468" s="435"/>
      <c r="I1468" s="435"/>
      <c r="J1468" s="435"/>
      <c r="K1468" s="1818"/>
      <c r="L1468" s="1818"/>
      <c r="M1468" s="1818"/>
      <c r="N1468" s="2255" t="s">
        <v>3273</v>
      </c>
      <c r="O1468" s="2273">
        <f>'Part VI-Revenues &amp; Expenses'!$P$67</f>
        <v>48</v>
      </c>
      <c r="P1468" s="2112" t="s">
        <v>4036</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4037</v>
      </c>
      <c r="D1469" s="435"/>
      <c r="E1469" s="435"/>
      <c r="F1469" s="435"/>
      <c r="H1469" s="2255" t="s">
        <v>4038</v>
      </c>
      <c r="I1469" s="435" t="s">
        <v>7110</v>
      </c>
      <c r="M1469" s="1818"/>
      <c r="N1469" s="1818"/>
      <c r="O1469" s="2044"/>
      <c r="P1469" s="2129" t="s">
        <v>743</v>
      </c>
      <c r="Q1469" s="2129" t="s">
        <v>4035</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 xml:space="preserve">Equipped Computer Center and WiFi </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Furnished Exercise /Fitness Center</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Equipped playground</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4046</v>
      </c>
      <c r="C1473" s="2226" t="str">
        <f>'Part VIII-Threshold Criteria'!C233</f>
        <v xml:space="preserve">Covered pavilion with picnic/BBQ facilities </v>
      </c>
      <c r="D1473" s="2226"/>
      <c r="E1473" s="2226"/>
      <c r="F1473" s="2226"/>
      <c r="G1473" s="2226"/>
      <c r="H1473" s="2255" t="s">
        <v>4046</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6336</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6451</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6312</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3961</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Applicant agrees to provide the required standard site amenities and additional site amenities to conform with the DCA Amenities Guidebook.</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6337</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6340</v>
      </c>
    </row>
    <row r="1490" spans="1:44" s="1852" customFormat="1" ht="10.5" customHeight="1">
      <c r="A1490" s="2224"/>
      <c r="B1490" s="435" t="s">
        <v>6342</v>
      </c>
      <c r="C1490" s="1818"/>
      <c r="D1490" s="1818"/>
      <c r="E1490" s="1818"/>
      <c r="F1490" s="1818"/>
      <c r="G1490" s="1818"/>
      <c r="H1490" s="1818"/>
      <c r="I1490" s="1818"/>
      <c r="J1490" s="2044" t="s">
        <v>6341</v>
      </c>
      <c r="K1490" s="435" t="s">
        <v>6342</v>
      </c>
      <c r="L1490" s="1818"/>
      <c r="M1490" s="1818"/>
      <c r="N1490" s="1818"/>
      <c r="O1490" s="1818"/>
      <c r="P1490" s="1818"/>
      <c r="Q1490" s="2044" t="s">
        <v>6341</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6343</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6339</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6338</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Not applicable</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4152</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6452</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6453</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6454</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6464</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6465</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3452</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3533</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3534</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3535</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3536</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6823</v>
      </c>
      <c r="C1521" s="2223" t="s">
        <v>7111</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Not applicable. Project is all new construction.</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3521</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4234</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3375</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4261</v>
      </c>
      <c r="D1531" s="2223"/>
      <c r="E1531" s="2223"/>
      <c r="F1531" s="2223"/>
      <c r="G1531" s="2223"/>
      <c r="H1531" s="2223"/>
      <c r="I1531" s="2223"/>
      <c r="J1531" s="2223"/>
      <c r="K1531" s="2223"/>
      <c r="L1531" s="2223"/>
      <c r="M1531" s="2223"/>
      <c r="N1531" s="2223"/>
      <c r="O1531" s="2224" t="s">
        <v>4262</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6344</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Please see Tab 16 for CSDP prepared in accordance with all instructions set forth in the DCA Architectural Manual.</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3522</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6452</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6456</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4027</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6455</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6457</v>
      </c>
      <c r="D1546" s="1818"/>
      <c r="E1546" s="1818"/>
      <c r="N1546" s="2283" t="s">
        <v>6458</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Please see Tab 17 for Green Building Worksheet. Applicant certifies that they have completed the required 30-minute Building Sustainability  training provided on the DCA website.</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3520</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6452</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7034</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3453</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4260</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6459</v>
      </c>
      <c r="D1557" s="2223"/>
      <c r="E1557" s="2223"/>
      <c r="F1557" s="2223"/>
      <c r="G1557" s="2223"/>
      <c r="H1557" s="2223"/>
      <c r="I1557" s="2223"/>
      <c r="J1557" s="2223"/>
      <c r="K1557" s="2223"/>
      <c r="L1557" s="2223"/>
      <c r="M1557" s="2223"/>
      <c r="N1557" s="2223"/>
      <c r="O1557" s="2224" t="s">
        <v>1660</v>
      </c>
      <c r="P1557" s="2264">
        <f>'Part VIII-Threshold Criteria'!P317</f>
        <v>0</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3433</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7035</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3538</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7036</v>
      </c>
      <c r="E1562" s="2223"/>
      <c r="F1562" s="2223"/>
      <c r="G1562" s="2223"/>
      <c r="H1562" s="2223"/>
      <c r="I1562" s="2290" t="s">
        <v>3539</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7037</v>
      </c>
      <c r="D1564" s="2223"/>
      <c r="E1564" s="2223"/>
      <c r="F1564" s="2223"/>
      <c r="G1564" s="2223"/>
      <c r="H1564" s="2223"/>
      <c r="I1564" s="435" t="s">
        <v>3540</v>
      </c>
      <c r="J1564" s="1856"/>
      <c r="K1564" s="2288">
        <f>'Part VIII-Threshold Criteria'!K324</f>
        <v>1</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3434</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4009</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The Applicant will retain a DCA qualified consultant to monitor the project for accessibility compliance who will not be a member of the proposed project team nor have an identity of interest with any member of the project team.</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3523</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3948</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7038</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6345</v>
      </c>
      <c r="D1588" s="2223"/>
      <c r="E1588" s="2223"/>
      <c r="F1588" s="2223"/>
      <c r="G1588" s="1864" t="s">
        <v>6346</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6611</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6612</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7039</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Applicant agrees to meet the Architectural Standards contained in the Application Manual for quality and longevity. Applicant further agrees to provide high-speed Wi-Fi internet access in the community building through the entirety of the compliance period and extended use period.</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3524</v>
      </c>
      <c r="B1597" s="2115" t="s">
        <v>3542</v>
      </c>
      <c r="C1597" s="2105"/>
      <c r="D1597" s="2228"/>
      <c r="E1597" s="2228"/>
      <c r="F1597" s="2228"/>
      <c r="G1597" s="2228"/>
      <c r="H1597" s="2228"/>
      <c r="O1597" s="2224" t="s">
        <v>1781</v>
      </c>
      <c r="P1597" s="1719"/>
      <c r="Q1597" s="1719"/>
    </row>
    <row r="1598" spans="1:256 1523:1523" s="1852" customFormat="1" ht="11.45" customHeight="1">
      <c r="A1598" s="2255" t="s">
        <v>1893</v>
      </c>
      <c r="B1598" s="2112" t="s">
        <v>6377</v>
      </c>
      <c r="O1598" s="2224" t="s">
        <v>1893</v>
      </c>
      <c r="P1598" s="2230" t="str">
        <f>'Part VIII-Threshold Criteria'!P358</f>
        <v>Yes</v>
      </c>
      <c r="Q1598" s="2164"/>
    </row>
    <row r="1599" spans="1:256 1523:1523" s="1852" customFormat="1" ht="11.45" customHeight="1">
      <c r="A1599" s="2224" t="s">
        <v>1895</v>
      </c>
      <c r="B1599" s="2112" t="s">
        <v>3514</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3415</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Please see Tab 20 for the Qualification Determination letter from the Pre-Application. The project team has not changed since pre-application.</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3527</v>
      </c>
      <c r="B1609" s="1818" t="s">
        <v>6348</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7040</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48</v>
      </c>
      <c r="F1611" s="435" t="s">
        <v>4079</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6349</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6350</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3528</v>
      </c>
      <c r="B1619" s="1818" t="s">
        <v>3506</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3507</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3508</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3499</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3500</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3501</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3502</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3503</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7112</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3504</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3505</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The Applicant is not a non-profit.</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3529</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The Applicant is not a CHDO.</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3530</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3264</v>
      </c>
      <c r="D1647" s="2223"/>
      <c r="E1647" s="2223"/>
      <c r="O1647" s="2255" t="s">
        <v>1895</v>
      </c>
      <c r="P1647" s="2230">
        <f>'Part VIII-Threshold Criteria'!P407</f>
        <v>0</v>
      </c>
      <c r="Q1647" s="2164"/>
    </row>
    <row r="1648" spans="1:31" s="1852" customFormat="1" ht="12" customHeight="1">
      <c r="A1648" s="2255" t="s">
        <v>719</v>
      </c>
      <c r="B1648" s="435" t="s">
        <v>4235</v>
      </c>
      <c r="D1648" s="2223"/>
      <c r="E1648" s="2223"/>
      <c r="O1648" s="2255" t="s">
        <v>719</v>
      </c>
      <c r="P1648" s="2230">
        <f>'Part VIII-Threshold Criteria'!P408</f>
        <v>0</v>
      </c>
      <c r="Q1648" s="2164"/>
    </row>
    <row r="1649" spans="1:31" s="1852" customFormat="1" ht="12" customHeight="1">
      <c r="A1649" s="2255" t="s">
        <v>2021</v>
      </c>
      <c r="B1649" s="435" t="s">
        <v>3265</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NA</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3531</v>
      </c>
      <c r="B1656" s="1818" t="s">
        <v>4137</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6546</v>
      </c>
      <c r="O1657" s="2255"/>
      <c r="P1657" s="2230">
        <f>'Part VIII-Threshold Criteria'!P417</f>
        <v>0</v>
      </c>
      <c r="Q1657" s="2164"/>
    </row>
    <row r="1658" spans="1:31" s="1852" customFormat="1" ht="12" customHeight="1">
      <c r="A1658" s="2255" t="s">
        <v>1893</v>
      </c>
      <c r="B1658" s="435" t="s">
        <v>4136</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4236</v>
      </c>
      <c r="D1660" s="2112" t="s">
        <v>4237</v>
      </c>
      <c r="E1660" s="1818"/>
      <c r="F1660" s="1818"/>
      <c r="G1660" s="1818"/>
      <c r="H1660" s="1818"/>
      <c r="I1660" s="1818"/>
      <c r="J1660" s="1818"/>
      <c r="K1660" s="1818"/>
      <c r="L1660" s="1818"/>
      <c r="M1660" s="1818"/>
      <c r="N1660" s="1818"/>
      <c r="O1660" s="2255" t="s">
        <v>4236</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4140</v>
      </c>
      <c r="D1663" s="435" t="s">
        <v>3261</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6401</v>
      </c>
      <c r="D1665" s="2223"/>
      <c r="E1665" s="2223"/>
      <c r="F1665" s="2223"/>
      <c r="G1665" s="435" t="s">
        <v>4141</v>
      </c>
      <c r="J1665" s="2137">
        <f>'Part VIII-Threshold Criteria'!J425</f>
        <v>0</v>
      </c>
      <c r="K1665" s="2117"/>
      <c r="M1665" s="435" t="s">
        <v>6493</v>
      </c>
      <c r="P1665" s="2137">
        <f>'Part VIII-Threshold Criteria'!P425</f>
        <v>0</v>
      </c>
      <c r="Q1665" s="2117"/>
    </row>
    <row r="1666" spans="1:44" s="1852" customFormat="1" ht="12" customHeight="1">
      <c r="A1666" s="2255"/>
      <c r="C1666" s="2223"/>
      <c r="D1666" s="2223"/>
      <c r="E1666" s="2223"/>
      <c r="F1666" s="2223"/>
      <c r="G1666" s="435" t="s">
        <v>6492</v>
      </c>
      <c r="J1666" s="2137">
        <f>'Part VIII-Threshold Criteria'!J426</f>
        <v>0</v>
      </c>
      <c r="K1666" s="2117"/>
      <c r="M1666" s="435" t="s">
        <v>6494</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6435</v>
      </c>
      <c r="J1668" s="2112" t="s">
        <v>6436</v>
      </c>
      <c r="K1668" s="2112" t="s">
        <v>6438</v>
      </c>
      <c r="L1668" s="2112"/>
      <c r="M1668" s="2112"/>
      <c r="N1668" s="2112" t="s">
        <v>6437</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6599</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6439</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6600</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4011</v>
      </c>
      <c r="E1679" s="2121"/>
      <c r="F1679" s="2121"/>
      <c r="G1679" s="2121"/>
      <c r="J1679" s="1818"/>
      <c r="K1679" s="2121"/>
      <c r="L1679" s="2121"/>
      <c r="M1679" s="1818"/>
      <c r="N1679" s="2255"/>
      <c r="P1679" s="2255"/>
      <c r="Q1679" s="2255"/>
    </row>
    <row r="1680" spans="1:44" s="1852" customFormat="1" ht="12" customHeight="1">
      <c r="A1680" s="2255"/>
      <c r="B1680" s="2112"/>
      <c r="C1680" s="2121" t="s">
        <v>6496</v>
      </c>
      <c r="E1680" s="2121"/>
      <c r="F1680" s="2121"/>
      <c r="L1680" s="2121"/>
      <c r="M1680" s="2121"/>
      <c r="O1680" s="2255" t="s">
        <v>2324</v>
      </c>
      <c r="P1680" s="2230" t="str">
        <f>'Part VIII-Threshold Criteria'!P440</f>
        <v>&lt;&lt;Select&gt;&gt;</v>
      </c>
      <c r="Q1680" s="2164"/>
    </row>
    <row r="1681" spans="1:31" s="1852" customFormat="1" ht="12" customHeight="1">
      <c r="A1681" s="1818"/>
      <c r="D1681" s="2112" t="s">
        <v>6497</v>
      </c>
      <c r="E1681" s="2270" t="s">
        <v>2347</v>
      </c>
      <c r="F1681" s="2112" t="s">
        <v>3426</v>
      </c>
      <c r="G1681" s="2111">
        <f>'Part VIII-Threshold Criteria'!G441</f>
        <v>0</v>
      </c>
      <c r="H1681" s="2111"/>
      <c r="I1681" s="2111"/>
      <c r="J1681" s="2111"/>
      <c r="K1681" s="2111"/>
      <c r="L1681" s="2270"/>
    </row>
    <row r="1682" spans="1:31" s="1852" customFormat="1" ht="12" customHeight="1">
      <c r="D1682" s="2112"/>
      <c r="E1682" s="2270" t="s">
        <v>4138</v>
      </c>
      <c r="F1682" s="2112" t="s">
        <v>4139</v>
      </c>
      <c r="G1682" s="2111" t="str">
        <f>'Part VIII-Threshold Criteria'!G442</f>
        <v>&lt;&lt; Select &gt;&gt;</v>
      </c>
      <c r="H1682" s="2111"/>
      <c r="I1682" s="2111"/>
      <c r="J1682" s="2112" t="s">
        <v>3966</v>
      </c>
      <c r="M1682" s="2111">
        <f>'Part VIII-Threshold Criteria'!M442</f>
        <v>0</v>
      </c>
      <c r="N1682" s="2111"/>
      <c r="O1682" s="2111"/>
      <c r="P1682" s="2111"/>
      <c r="Q1682" s="2111"/>
    </row>
    <row r="1683" spans="1:31" s="1852" customFormat="1" ht="12" customHeight="1">
      <c r="A1683" s="1818"/>
      <c r="C1683" s="2112" t="s">
        <v>6495</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3962</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4238</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4142</v>
      </c>
      <c r="C1687" s="2228"/>
      <c r="D1687" s="2228"/>
      <c r="E1687" s="2228"/>
      <c r="F1687" s="2228"/>
      <c r="G1687" s="2228"/>
      <c r="H1687" s="2228"/>
      <c r="I1687" s="2228"/>
      <c r="J1687" s="2228"/>
      <c r="K1687" s="2228"/>
      <c r="L1687" s="2228"/>
      <c r="M1687" s="2228"/>
      <c r="N1687" s="2228"/>
    </row>
    <row r="1688" spans="1:31" s="1852" customFormat="1" ht="48" customHeight="1">
      <c r="B1688" s="2223" t="s">
        <v>7113</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NA</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3532</v>
      </c>
      <c r="B1694" s="1818" t="s">
        <v>2619</v>
      </c>
      <c r="C1694" s="1818"/>
      <c r="D1694" s="435"/>
      <c r="E1694" s="2228"/>
      <c r="F1694" s="2228"/>
      <c r="G1694" s="2228"/>
      <c r="H1694" s="2228"/>
      <c r="O1694" s="2224" t="s">
        <v>1781</v>
      </c>
      <c r="P1694" s="1719"/>
      <c r="Q1694" s="1719"/>
    </row>
    <row r="1695" spans="1:31" s="1852" customFormat="1" ht="14.1" customHeight="1">
      <c r="B1695" s="435" t="s">
        <v>4082</v>
      </c>
      <c r="C1695" s="1818"/>
      <c r="D1695" s="435"/>
      <c r="E1695" s="2228"/>
      <c r="F1695" s="2228"/>
      <c r="G1695" s="2228"/>
      <c r="H1695" s="2228"/>
    </row>
    <row r="1696" spans="1:31" s="2158" customFormat="1" ht="21.75" customHeight="1">
      <c r="A1696" s="2224" t="s">
        <v>1893</v>
      </c>
      <c r="B1696" s="2223" t="s">
        <v>3456</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3455</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4048</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4049</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4050</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4051</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3457</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4109</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4110</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4153</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prepare a AFFH Marketing plan if selected for funding.</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3967</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Applicant believes the project as proposed is an optimal utilization of DCA resources. The proposed development will be located in the City of Byron, where there is no existing Family LIHTC housing.</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2021-014 Dunbar Court,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7114</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64.5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6316</v>
      </c>
      <c r="B1727" s="2304"/>
      <c r="C1727" s="2304"/>
      <c r="D1727" s="435" t="s">
        <v>6317</v>
      </c>
      <c r="E1727" s="435"/>
      <c r="F1727" s="435"/>
      <c r="G1727" s="435"/>
      <c r="H1727" s="435"/>
      <c r="I1727" s="435"/>
      <c r="J1727" s="435"/>
      <c r="K1727" s="435"/>
      <c r="L1727" s="435"/>
      <c r="M1727" s="435"/>
      <c r="O1727" s="2122">
        <f>'Part IX Scoring Criteria'!O8</f>
        <v>0</v>
      </c>
      <c r="P1727" s="2110"/>
      <c r="Q1727" s="435" t="s">
        <v>7115</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7041</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6368</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6369</v>
      </c>
      <c r="D1733" s="435"/>
      <c r="E1733" s="435"/>
      <c r="F1733" s="435"/>
      <c r="G1733" s="2156"/>
      <c r="H1733" s="1864" t="s">
        <v>7116</v>
      </c>
      <c r="I1733" s="2156"/>
      <c r="J1733" s="2156"/>
      <c r="K1733" s="2156"/>
      <c r="L1733" s="2156"/>
      <c r="M1733" s="2305" t="s">
        <v>7117</v>
      </c>
      <c r="N1733" s="2156"/>
      <c r="O1733" s="2122">
        <f>'Part IX Scoring Criteria'!O14</f>
        <v>0</v>
      </c>
      <c r="P1733" s="2108">
        <f>IF(P1735&lt;2,0,IF(AND(P1735&gt;1,P1735&lt;5),1,IF(P1735&gt;4,P1735-3)))</f>
        <v>0</v>
      </c>
      <c r="Q1733" s="435" t="s">
        <v>7115</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3545</v>
      </c>
      <c r="B1735" s="1967" t="s">
        <v>3546</v>
      </c>
      <c r="C1735" s="435"/>
      <c r="D1735" s="435"/>
      <c r="E1735" s="1967" t="s">
        <v>3553</v>
      </c>
      <c r="F1735" s="1967" t="s">
        <v>6825</v>
      </c>
      <c r="G1735" s="1967"/>
      <c r="H1735" s="1967"/>
      <c r="I1735" s="1967"/>
      <c r="J1735" s="1967"/>
      <c r="K1735" s="1967"/>
      <c r="L1735" s="1967"/>
      <c r="M1735" s="1967"/>
      <c r="N1735" s="1967"/>
      <c r="O1735" s="2305" t="s">
        <v>3974</v>
      </c>
      <c r="P1735" s="2164">
        <f>SUM(P1736:P1748)</f>
        <v>0</v>
      </c>
      <c r="Q1735" s="435" t="s">
        <v>7118</v>
      </c>
      <c r="R1735" s="435"/>
      <c r="S1735" s="435"/>
      <c r="T1735" s="435"/>
      <c r="U1735" s="435"/>
      <c r="V1735" s="435"/>
    </row>
    <row r="1736" spans="1:22" s="1818" customFormat="1" ht="10.5" customHeight="1">
      <c r="A1736" s="2307" t="s">
        <v>1713</v>
      </c>
      <c r="B1736" s="1905" t="s">
        <v>3547</v>
      </c>
      <c r="C1736" s="1905"/>
      <c r="D1736" s="1905"/>
      <c r="E1736" s="2308">
        <f>'Part IX Scoring Criteria'!E17</f>
        <v>20</v>
      </c>
      <c r="F1736" s="2229" t="str">
        <f>'Part IX Scoring Criteria'!F17</f>
        <v>The project recieves the full 20 points for desirables. Within two miles there is a elementary school, public park over 25,000 sq ft, grocery store, medical provider, public library, US post office, banks, restaurants and many other retail and commercial services. There are no undesirables and the project location does not fall within an USDA food desert. Please see Tab 27 for the Desirable Activities documentation.</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4242</v>
      </c>
      <c r="C1737" s="1905"/>
      <c r="D1737" s="1905"/>
      <c r="E1737" s="2308">
        <f>'Part IX Scoring Criteria'!E18</f>
        <v>2</v>
      </c>
      <c r="F1737" s="2229" t="str">
        <f>'Part IX Scoring Criteria'!F18</f>
        <v>Peach County Transit offers on call transportation available to all residents at the proposed development. The service is available 5 days a week at a reasonable cost. Please see Tab 28 of the application for support documentation.</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3486</v>
      </c>
      <c r="C1738" s="1905"/>
      <c r="D1738" s="1905"/>
      <c r="E1738" s="2308">
        <f>'Part IX Scoring Criteria'!E19</f>
        <v>1.5</v>
      </c>
      <c r="F1738" s="2229" t="str">
        <f>'Part IX Scoring Criteria'!F19</f>
        <v>The projects location is within the attendance zone of Byron Elementary, Byron Middle and Peach County High School. Byron Middle School and Peach County High School received Beating the Odds Designation for 2018 and 2019. Additionally, the two year CCRPI scores for Byron Middle School are above the minimum average per the QAP and the middle school serves three grade levels. Please see Tab 29 for Quality Education documentation.</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3548</v>
      </c>
      <c r="C1739" s="1905"/>
      <c r="D1739" s="1905"/>
      <c r="E1739" s="2308">
        <f>'Part IX Scoring Criteria'!E20</f>
        <v>0</v>
      </c>
      <c r="F1739" s="2229" t="str">
        <f>'Part IX Scoring Criteria'!F20</f>
        <v>N/A</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3549</v>
      </c>
      <c r="C1740" s="1905"/>
      <c r="D1740" s="1905"/>
      <c r="E1740" s="2308" t="str">
        <f>'Part IX Scoring Criteria'!E21</f>
        <v>n/a</v>
      </c>
      <c r="F1740" s="2229" t="str">
        <f>'Part IX Scoring Criteria'!F21</f>
        <v>N/A</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4243</v>
      </c>
      <c r="C1741" s="1905"/>
      <c r="D1741" s="1905"/>
      <c r="E1741" s="2308">
        <f>'Part IX Scoring Criteria'!E22</f>
        <v>7</v>
      </c>
      <c r="F1741" s="2229" t="str">
        <f>'Part IX Scoring Criteria'!F22</f>
        <v xml:space="preserve">The project is located in census tract 13225040102. The percentage below the poverty line accourding to US Census FFIEC data is 12.26%. The location is a USDA rual eligible location and is therefore eligible for 4 points under Low-poverty communites scoring section. Additionally, the census tract has Health Insurance Coverage Rate and Life Expectancy rates above the 60th percentile thresholds and Median Income for 2019 is above the 60th percentile threshold. The property is eligible for seven points in this scoring section.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4245</v>
      </c>
      <c r="B1742" s="1905" t="s">
        <v>3396</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4257</v>
      </c>
      <c r="B1743" s="1905" t="s">
        <v>4246</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6531</v>
      </c>
      <c r="B1744" s="1905" t="s">
        <v>4247</v>
      </c>
      <c r="C1744" s="1905"/>
      <c r="D1744" s="1905"/>
      <c r="E1744" s="2308">
        <f>'Part IX Scoring Criteria'!E25</f>
        <v>4</v>
      </c>
      <c r="F1744" s="2229" t="str">
        <f>'Part IX Scoring Criteria'!F25</f>
        <v>There has been only one award within the City limits of Byron in the last 15 years which was prior to January 1, 2015, therefore the project is eligible for 4 points.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3522</v>
      </c>
      <c r="B1745" s="1905" t="s">
        <v>3550</v>
      </c>
      <c r="C1745" s="1905"/>
      <c r="D1745" s="1905"/>
      <c r="E1745" s="2308">
        <f>'Part IX Scoring Criteria'!E26</f>
        <v>2</v>
      </c>
      <c r="F1745" s="2229" t="str">
        <f>'Part IX Scoring Criteria'!F26</f>
        <v>Please see Tab 38 for evidence of the Byron GICH support letter executed by the primary contact on record as well as the local government agreement letter executed by the Mayor.</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3520</v>
      </c>
      <c r="B1746" s="1905" t="s">
        <v>3551</v>
      </c>
      <c r="C1746" s="1905"/>
      <c r="D1746" s="1905"/>
      <c r="E1746" s="2308">
        <f>'Part IX Scoring Criteria'!E27</f>
        <v>1</v>
      </c>
      <c r="F1746" s="2229" t="str">
        <f>'Part IX Scoring Criteria'!F27</f>
        <v>Please see Tab 39 for the commitment letter for the construction- perm loan of $480,000 with a minimum term of 10 years and interest rate at or below long term monthly AFR effective May 1, 2021. The loan amount is for $10,000 per unit and is eligible for one favorable financing point. United Bank is a certified Community Development Financial Institution, and the proposed loan is offered as a result of the Bank's 2020 Capital Magnet Fund award from the CDFI Fund division of the United States Treasury Department.</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3520</v>
      </c>
      <c r="B1747" s="1905" t="s">
        <v>3552</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3527</v>
      </c>
      <c r="B1748" s="1905" t="s">
        <v>6362</v>
      </c>
      <c r="C1748" s="1905"/>
      <c r="D1748" s="1905"/>
      <c r="E1748" s="2308">
        <f>'Part IX Scoring Criteria'!E29</f>
        <v>0</v>
      </c>
      <c r="F1748" s="2229" t="str">
        <f>'Part IX Scoring Criteria'!F29</f>
        <v>N/A</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6370</v>
      </c>
      <c r="C1750" s="2284"/>
      <c r="D1750" s="2114"/>
      <c r="E1750" s="2114"/>
      <c r="F1750" s="2114"/>
      <c r="G1750" s="2159" t="s">
        <v>6354</v>
      </c>
      <c r="H1750" s="2159"/>
      <c r="I1750" s="2159" t="s">
        <v>932</v>
      </c>
      <c r="J1750" s="2159"/>
      <c r="K1750" s="2310" t="s">
        <v>6355</v>
      </c>
      <c r="L1750" s="1973"/>
      <c r="M1750" s="1967" t="s">
        <v>6371</v>
      </c>
      <c r="N1750" s="1967"/>
      <c r="O1750" s="1967"/>
      <c r="P1750" s="1967"/>
      <c r="Q1750" s="1967"/>
      <c r="R1750" s="2311"/>
      <c r="S1750" s="2312" t="s">
        <v>6370</v>
      </c>
      <c r="T1750" s="2311"/>
      <c r="U1750" s="2311"/>
      <c r="V1750" s="2311"/>
      <c r="W1750" s="1754"/>
      <c r="X1750" s="4749" t="s">
        <v>6354</v>
      </c>
      <c r="Y1750" s="4750"/>
      <c r="Z1750" s="4749" t="s">
        <v>932</v>
      </c>
      <c r="AA1750" s="4750"/>
      <c r="AB1750" s="2313" t="s">
        <v>6355</v>
      </c>
      <c r="AC1750" s="4749" t="s">
        <v>6354</v>
      </c>
      <c r="AD1750" s="4750"/>
      <c r="AE1750" s="4749" t="s">
        <v>932</v>
      </c>
      <c r="AF1750" s="4750"/>
      <c r="AG1750" s="2313" t="s">
        <v>6355</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6356</v>
      </c>
      <c r="C1752" s="1967"/>
      <c r="D1752" s="2112"/>
      <c r="E1752" s="2112"/>
      <c r="F1752" s="2112"/>
      <c r="G1752" s="2145">
        <v>10</v>
      </c>
      <c r="H1752" s="2145"/>
      <c r="I1752" s="2145">
        <v>10</v>
      </c>
      <c r="J1752" s="2145"/>
      <c r="K1752" s="2145">
        <v>10</v>
      </c>
      <c r="L1752" s="1973"/>
      <c r="M1752" s="1967" t="s">
        <v>6372</v>
      </c>
      <c r="N1752" s="1973"/>
      <c r="O1752" s="1973"/>
      <c r="P1752" s="2317" t="str">
        <f>'Part IX Scoring Criteria'!P33</f>
        <v>9%</v>
      </c>
      <c r="Q1752" s="1973"/>
      <c r="R1752" s="2318" t="s">
        <v>712</v>
      </c>
      <c r="S1752" s="2319" t="s">
        <v>6356</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6357</v>
      </c>
      <c r="C1753" s="1967"/>
      <c r="D1753" s="2112"/>
      <c r="E1753" s="2112"/>
      <c r="F1753" s="2112"/>
      <c r="G1753" s="2145">
        <v>3</v>
      </c>
      <c r="H1753" s="2145">
        <v>3</v>
      </c>
      <c r="I1753" s="2145">
        <v>3</v>
      </c>
      <c r="J1753" s="2145">
        <v>3</v>
      </c>
      <c r="K1753" s="2145"/>
      <c r="L1753" s="1973"/>
      <c r="M1753" s="1967" t="s">
        <v>6376</v>
      </c>
      <c r="N1753" s="1967"/>
      <c r="O1753" s="1967"/>
      <c r="P1753" s="1967"/>
      <c r="Q1753" s="1973"/>
      <c r="R1753" s="2318" t="s">
        <v>1711</v>
      </c>
      <c r="S1753" s="2328" t="s">
        <v>6357</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3547</v>
      </c>
      <c r="C1754" s="1967"/>
      <c r="D1754" s="2112"/>
      <c r="E1754" s="2112"/>
      <c r="F1754" s="2112"/>
      <c r="G1754" s="2145">
        <v>20</v>
      </c>
      <c r="H1754" s="2145">
        <v>12</v>
      </c>
      <c r="I1754" s="2145"/>
      <c r="J1754" s="2145"/>
      <c r="K1754" s="2145"/>
      <c r="L1754" s="1973"/>
      <c r="M1754" s="1967" t="s">
        <v>6380</v>
      </c>
      <c r="N1754" s="1973"/>
      <c r="O1754" s="1973"/>
      <c r="P1754" s="2044" t="str">
        <f>'Part IX Scoring Criteria'!P35</f>
        <v>No</v>
      </c>
      <c r="Q1754" s="1973"/>
      <c r="R1754" s="2318" t="s">
        <v>1713</v>
      </c>
      <c r="S1754" s="2328" t="s">
        <v>3547</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4242</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4242</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3486</v>
      </c>
      <c r="C1756" s="1967"/>
      <c r="D1756" s="2112"/>
      <c r="E1756" s="2112"/>
      <c r="F1756" s="2112"/>
      <c r="G1756" s="2145">
        <v>3</v>
      </c>
      <c r="H1756" s="2145">
        <v>2</v>
      </c>
      <c r="I1756" s="2145"/>
      <c r="J1756" s="2145"/>
      <c r="K1756" s="2145"/>
      <c r="L1756" s="1973"/>
      <c r="M1756" s="1967" t="s">
        <v>6381</v>
      </c>
      <c r="N1756" s="1973"/>
      <c r="O1756" s="1973"/>
      <c r="P1756" s="2044" t="str">
        <f>'Part IX Scoring Criteria'!P37</f>
        <v>No</v>
      </c>
      <c r="Q1756" s="1973"/>
      <c r="R1756" s="2318" t="s">
        <v>742</v>
      </c>
      <c r="S1756" s="2328" t="s">
        <v>3486</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3548</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3548</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3549</v>
      </c>
      <c r="C1758" s="1967"/>
      <c r="D1758" s="2112"/>
      <c r="E1758" s="2112"/>
      <c r="F1758" s="2112"/>
      <c r="G1758" s="2145">
        <v>3</v>
      </c>
      <c r="H1758" s="2145"/>
      <c r="I1758" s="2145"/>
      <c r="J1758" s="2145"/>
      <c r="K1758" s="2145"/>
      <c r="L1758" s="1973"/>
      <c r="M1758" s="1967" t="s">
        <v>6536</v>
      </c>
      <c r="P1758" s="2164" t="str">
        <f>'Part III-Sources of Funds'!$L$14</f>
        <v>No</v>
      </c>
      <c r="Q1758" s="1973"/>
      <c r="R1758" s="2318" t="s">
        <v>407</v>
      </c>
      <c r="S1758" s="2328" t="s">
        <v>3549</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4243</v>
      </c>
      <c r="C1759" s="1967"/>
      <c r="D1759" s="2112"/>
      <c r="E1759" s="2112"/>
      <c r="F1759" s="2112"/>
      <c r="G1759" s="2145">
        <v>10</v>
      </c>
      <c r="H1759" s="2145">
        <v>5</v>
      </c>
      <c r="I1759" s="2145"/>
      <c r="J1759" s="2145"/>
      <c r="K1759" s="2145"/>
      <c r="L1759" s="1973"/>
      <c r="M1759" s="1864" t="s">
        <v>6537</v>
      </c>
      <c r="N1759" s="1864"/>
      <c r="O1759" s="2114"/>
      <c r="P1759" s="2044" t="str">
        <f>'Part IX Scoring Criteria'!P40</f>
        <v>No</v>
      </c>
      <c r="Q1759" s="1973"/>
      <c r="R1759" s="2318" t="s">
        <v>346</v>
      </c>
      <c r="S1759" s="2328" t="s">
        <v>4243</v>
      </c>
      <c r="T1759" s="2329"/>
      <c r="U1759" s="2330"/>
      <c r="V1759" s="2330"/>
      <c r="W1759" s="2330"/>
      <c r="X1759" s="2331">
        <f>O1918</f>
        <v>7</v>
      </c>
      <c r="Y1759" s="2332">
        <f>O1918</f>
        <v>7</v>
      </c>
      <c r="Z1759" s="2338"/>
      <c r="AA1759" s="2339"/>
      <c r="AB1759" s="2333"/>
      <c r="AC1759" s="2334">
        <f>P1918</f>
        <v>0</v>
      </c>
      <c r="AD1759" s="2332">
        <f>P1918</f>
        <v>0</v>
      </c>
      <c r="AE1759" s="2338"/>
      <c r="AF1759" s="2339"/>
      <c r="AG1759" s="2335"/>
    </row>
    <row r="1760" spans="1:33" s="1852" customFormat="1" ht="10.5" customHeight="1">
      <c r="A1760" s="2029" t="s">
        <v>347</v>
      </c>
      <c r="B1760" s="2084" t="s">
        <v>6358</v>
      </c>
      <c r="C1760" s="1967"/>
      <c r="D1760" s="2112"/>
      <c r="E1760" s="2112"/>
      <c r="F1760" s="2112"/>
      <c r="G1760" s="2145">
        <v>1</v>
      </c>
      <c r="H1760" s="2145"/>
      <c r="I1760" s="2145"/>
      <c r="J1760" s="2145"/>
      <c r="K1760" s="2145"/>
      <c r="L1760" s="1973"/>
      <c r="Q1760" s="1973"/>
      <c r="R1760" s="2318" t="s">
        <v>347</v>
      </c>
      <c r="S1760" s="2328" t="s">
        <v>6358</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6544</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6359</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6359</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3521</v>
      </c>
      <c r="B1763" s="2084" t="s">
        <v>4247</v>
      </c>
      <c r="C1763" s="1967"/>
      <c r="D1763" s="2112"/>
      <c r="E1763" s="2112"/>
      <c r="F1763" s="2112"/>
      <c r="G1763" s="2145">
        <v>5</v>
      </c>
      <c r="H1763" s="2145"/>
      <c r="I1763" s="2145"/>
      <c r="J1763" s="2145"/>
      <c r="K1763" s="2145"/>
      <c r="L1763" s="1973"/>
      <c r="P1763" s="2029" t="s">
        <v>3380</v>
      </c>
      <c r="Q1763" s="1973"/>
      <c r="R1763" s="2318" t="s">
        <v>3521</v>
      </c>
      <c r="S1763" s="2328" t="s">
        <v>4247</v>
      </c>
      <c r="T1763" s="2329"/>
      <c r="U1763" s="2330"/>
      <c r="V1763" s="2330"/>
      <c r="W1763" s="2330"/>
      <c r="X1763" s="2331">
        <f>O1966</f>
        <v>4</v>
      </c>
      <c r="Y1763" s="2339"/>
      <c r="Z1763" s="2338"/>
      <c r="AA1763" s="2339"/>
      <c r="AB1763" s="2333"/>
      <c r="AC1763" s="2334">
        <f>P1966</f>
        <v>0</v>
      </c>
      <c r="AD1763" s="2339"/>
      <c r="AE1763" s="2338"/>
      <c r="AF1763" s="2339"/>
      <c r="AG1763" s="2335"/>
    </row>
    <row r="1764" spans="1:33" s="1852" customFormat="1" ht="10.5" customHeight="1">
      <c r="A1764" s="2029" t="s">
        <v>2149</v>
      </c>
      <c r="B1764" s="2084" t="s">
        <v>3968</v>
      </c>
      <c r="C1764" s="1967"/>
      <c r="D1764" s="2112"/>
      <c r="E1764" s="2112"/>
      <c r="F1764" s="2112"/>
      <c r="G1764" s="2145">
        <v>4</v>
      </c>
      <c r="H1764" s="2145">
        <v>4</v>
      </c>
      <c r="I1764" s="2145">
        <v>4</v>
      </c>
      <c r="J1764" s="2145">
        <v>4</v>
      </c>
      <c r="K1764" s="2145">
        <v>4</v>
      </c>
      <c r="L1764" s="2342"/>
      <c r="M1764" s="1967" t="s">
        <v>7119</v>
      </c>
      <c r="N1764" s="1973"/>
      <c r="P1764" s="2343">
        <f>'Part IX Scoring Criteria'!P45</f>
        <v>48</v>
      </c>
      <c r="R1764" s="2318" t="s">
        <v>2149</v>
      </c>
      <c r="S1764" s="2328" t="s">
        <v>3968</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3521</v>
      </c>
      <c r="B1765" s="2084" t="s">
        <v>6360</v>
      </c>
      <c r="C1765" s="1967"/>
      <c r="D1765" s="2112"/>
      <c r="E1765" s="2112"/>
      <c r="F1765" s="2112"/>
      <c r="G1765" s="2145">
        <v>2</v>
      </c>
      <c r="H1765" s="2145"/>
      <c r="I1765" s="2145">
        <v>2</v>
      </c>
      <c r="J1765" s="2145"/>
      <c r="K1765" s="2145"/>
      <c r="L1765" s="1973"/>
      <c r="M1765" s="1967" t="s">
        <v>6574</v>
      </c>
      <c r="N1765" s="1875"/>
      <c r="O1765" s="1875"/>
      <c r="P1765" s="2343">
        <f>'Part IX Scoring Criteria'!P46</f>
        <v>0</v>
      </c>
      <c r="Q1765" s="1973"/>
      <c r="R1765" s="2318" t="s">
        <v>3521</v>
      </c>
      <c r="S1765" s="2328" t="s">
        <v>6360</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3522</v>
      </c>
      <c r="B1766" s="2084" t="s">
        <v>3550</v>
      </c>
      <c r="C1766" s="1967"/>
      <c r="D1766" s="2112"/>
      <c r="E1766" s="2112"/>
      <c r="F1766" s="2112"/>
      <c r="G1766" s="2145">
        <v>2</v>
      </c>
      <c r="H1766" s="2145"/>
      <c r="I1766" s="2145">
        <v>2</v>
      </c>
      <c r="J1766" s="2145"/>
      <c r="K1766" s="2145">
        <v>2</v>
      </c>
      <c r="L1766" s="1973"/>
      <c r="M1766" s="2127" t="s">
        <v>7042</v>
      </c>
      <c r="N1766" s="2127"/>
      <c r="O1766" s="2127"/>
      <c r="P1766" s="2127"/>
      <c r="Q1766" s="458"/>
      <c r="R1766" s="2318" t="s">
        <v>3522</v>
      </c>
      <c r="S1766" s="2328" t="s">
        <v>3550</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3520</v>
      </c>
      <c r="B1767" s="2084" t="s">
        <v>3551</v>
      </c>
      <c r="C1767" s="1967"/>
      <c r="D1767" s="2112"/>
      <c r="E1767" s="2112"/>
      <c r="F1767" s="2112"/>
      <c r="G1767" s="2145">
        <v>4</v>
      </c>
      <c r="H1767" s="2145">
        <v>4</v>
      </c>
      <c r="I1767" s="2145">
        <v>4</v>
      </c>
      <c r="J1767" s="2145">
        <v>4</v>
      </c>
      <c r="K1767" s="2145">
        <v>4</v>
      </c>
      <c r="L1767" s="1973"/>
      <c r="M1767" s="2127"/>
      <c r="N1767" s="2127"/>
      <c r="O1767" s="2127"/>
      <c r="P1767" s="2127"/>
      <c r="R1767" s="2318" t="s">
        <v>3520</v>
      </c>
      <c r="S1767" s="2328" t="s">
        <v>3551</v>
      </c>
      <c r="T1767" s="2329"/>
      <c r="U1767" s="2330"/>
      <c r="V1767" s="2330"/>
      <c r="W1767" s="2330"/>
      <c r="X1767" s="2331">
        <f>O2013</f>
        <v>1</v>
      </c>
      <c r="Y1767" s="2332">
        <f>O2013</f>
        <v>1</v>
      </c>
      <c r="Z1767" s="2331">
        <f>O2013</f>
        <v>1</v>
      </c>
      <c r="AA1767" s="2332">
        <f>O2013</f>
        <v>1</v>
      </c>
      <c r="AB1767" s="2344">
        <f>O2013</f>
        <v>1</v>
      </c>
      <c r="AC1767" s="2334">
        <f>P2013</f>
        <v>0</v>
      </c>
      <c r="AD1767" s="2332">
        <f>P2013</f>
        <v>0</v>
      </c>
      <c r="AE1767" s="2331">
        <f>P2013</f>
        <v>0</v>
      </c>
      <c r="AF1767" s="2332">
        <f>P2013</f>
        <v>0</v>
      </c>
      <c r="AG1767" s="2345">
        <f>P2013</f>
        <v>0</v>
      </c>
    </row>
    <row r="1768" spans="1:33" s="1852" customFormat="1" ht="10.5" customHeight="1">
      <c r="A1768" s="2029" t="s">
        <v>3523</v>
      </c>
      <c r="B1768" s="2084" t="s">
        <v>3552</v>
      </c>
      <c r="C1768" s="1967"/>
      <c r="D1768" s="2112"/>
      <c r="E1768" s="2112"/>
      <c r="F1768" s="2112"/>
      <c r="G1768" s="2145">
        <v>2</v>
      </c>
      <c r="H1768" s="2145"/>
      <c r="I1768" s="2145"/>
      <c r="J1768" s="2145"/>
      <c r="K1768" s="2145"/>
      <c r="L1768" s="1973"/>
      <c r="M1768" s="2127"/>
      <c r="N1768" s="2127"/>
      <c r="O1768" s="2127"/>
      <c r="P1768" s="2127"/>
      <c r="R1768" s="2318" t="s">
        <v>3523</v>
      </c>
      <c r="S1768" s="2328" t="s">
        <v>3552</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3524</v>
      </c>
      <c r="B1769" s="2084" t="s">
        <v>6361</v>
      </c>
      <c r="C1769" s="1967"/>
      <c r="D1769" s="2112"/>
      <c r="E1769" s="2112"/>
      <c r="F1769" s="2112"/>
      <c r="G1769" s="2145">
        <v>10</v>
      </c>
      <c r="H1769" s="2145">
        <v>10</v>
      </c>
      <c r="I1769" s="2145">
        <v>10</v>
      </c>
      <c r="J1769" s="2145">
        <v>10</v>
      </c>
      <c r="K1769" s="2145">
        <v>10</v>
      </c>
      <c r="L1769" s="1973"/>
      <c r="M1769" s="2127"/>
      <c r="N1769" s="2127"/>
      <c r="O1769" s="2127"/>
      <c r="P1769" s="2127"/>
      <c r="R1769" s="2318" t="s">
        <v>3524</v>
      </c>
      <c r="S1769" s="2328" t="s">
        <v>6361</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3527</v>
      </c>
      <c r="B1770" s="2084" t="s">
        <v>6362</v>
      </c>
      <c r="C1770" s="1967"/>
      <c r="D1770" s="2112"/>
      <c r="E1770" s="2112"/>
      <c r="F1770" s="2112"/>
      <c r="G1770" s="2145">
        <v>2</v>
      </c>
      <c r="H1770" s="2145"/>
      <c r="I1770" s="2145">
        <v>2</v>
      </c>
      <c r="J1770" s="2145"/>
      <c r="K1770" s="2145"/>
      <c r="L1770" s="1973"/>
      <c r="M1770" s="2127"/>
      <c r="N1770" s="2127"/>
      <c r="O1770" s="2127"/>
      <c r="P1770" s="2127"/>
      <c r="R1770" s="2318" t="s">
        <v>3527</v>
      </c>
      <c r="S1770" s="2328" t="s">
        <v>6362</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3528</v>
      </c>
      <c r="B1771" s="2084" t="s">
        <v>6363</v>
      </c>
      <c r="C1771" s="1967"/>
      <c r="D1771" s="2112"/>
      <c r="E1771" s="2112"/>
      <c r="F1771" s="2112"/>
      <c r="G1771" s="2145"/>
      <c r="H1771" s="2145"/>
      <c r="I1771" s="2145">
        <v>6</v>
      </c>
      <c r="J1771" s="2145">
        <v>6</v>
      </c>
      <c r="K1771" s="2145">
        <v>6</v>
      </c>
      <c r="L1771" s="1973"/>
      <c r="M1771" s="2127"/>
      <c r="N1771" s="2127"/>
      <c r="O1771" s="2127"/>
      <c r="P1771" s="2127"/>
      <c r="R1771" s="2318" t="s">
        <v>3528</v>
      </c>
      <c r="S1771" s="2328" t="s">
        <v>6363</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3529</v>
      </c>
      <c r="B1772" s="2084" t="s">
        <v>6364</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3529</v>
      </c>
      <c r="S1772" s="2328" t="s">
        <v>6364</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3530</v>
      </c>
      <c r="B1773" s="2084" t="s">
        <v>6365</v>
      </c>
      <c r="C1773" s="1967"/>
      <c r="D1773" s="2112"/>
      <c r="E1773" s="2112"/>
      <c r="F1773" s="2112"/>
      <c r="G1773" s="2145"/>
      <c r="H1773" s="2145"/>
      <c r="I1773" s="2145"/>
      <c r="J1773" s="2145">
        <v>4</v>
      </c>
      <c r="K1773" s="2145"/>
      <c r="L1773" s="1973"/>
      <c r="Q1773" s="1973"/>
      <c r="R1773" s="2318" t="s">
        <v>3530</v>
      </c>
      <c r="S1773" s="2328" t="s">
        <v>6365</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3531</v>
      </c>
      <c r="B1774" s="2084" t="s">
        <v>6366</v>
      </c>
      <c r="C1774" s="1967"/>
      <c r="D1774" s="2112"/>
      <c r="E1774" s="2112"/>
      <c r="F1774" s="2112"/>
      <c r="G1774" s="2145"/>
      <c r="H1774" s="2145"/>
      <c r="I1774" s="2145">
        <v>2</v>
      </c>
      <c r="J1774" s="2145"/>
      <c r="K1774" s="2145">
        <v>2</v>
      </c>
      <c r="L1774" s="1973"/>
      <c r="M1774" s="1967" t="s">
        <v>6373</v>
      </c>
      <c r="N1774" s="1967"/>
      <c r="O1774" s="1967"/>
      <c r="P1774" s="1967"/>
      <c r="Q1774" s="1973"/>
      <c r="R1774" s="2318" t="s">
        <v>3531</v>
      </c>
      <c r="S1774" s="2328" t="s">
        <v>6366</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3532</v>
      </c>
      <c r="B1775" s="2084" t="s">
        <v>6367</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3532</v>
      </c>
      <c r="S1775" s="2346" t="s">
        <v>6367</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6532</v>
      </c>
      <c r="E1777" s="1719"/>
      <c r="F1777" s="1719"/>
      <c r="G1777" s="2200">
        <f>SUM(G1752:G1775)</f>
        <v>107</v>
      </c>
      <c r="H1777" s="2200">
        <f>SUM(H1752:H1775)</f>
        <v>70</v>
      </c>
      <c r="I1777" s="2200">
        <f>SUM(I1752:I1775)</f>
        <v>51</v>
      </c>
      <c r="J1777" s="2200">
        <f>SUM(J1752:J1775)</f>
        <v>47</v>
      </c>
      <c r="K1777" s="2200">
        <f>SUM(K1752:K1775)</f>
        <v>38</v>
      </c>
      <c r="L1777" s="1818"/>
      <c r="M1777" s="2108"/>
      <c r="N1777" s="2051"/>
      <c r="O1777" s="2192"/>
      <c r="P1777" s="2108"/>
      <c r="R1777" s="2354"/>
      <c r="S1777" s="2354"/>
      <c r="T1777" s="2355"/>
      <c r="U1777" s="2355"/>
      <c r="V1777" s="2355"/>
      <c r="W1777" s="2355"/>
      <c r="X1777" s="2356">
        <f>SUM(X1752:X1775)</f>
        <v>64.5</v>
      </c>
      <c r="Y1777" s="2356">
        <f t="shared" ref="Y1777:AB1777" si="383">SUM(Y1752:Y1775)</f>
        <v>47.5</v>
      </c>
      <c r="Z1777" s="2356">
        <f t="shared" si="383"/>
        <v>29</v>
      </c>
      <c r="AA1777" s="2356">
        <f t="shared" si="383"/>
        <v>17</v>
      </c>
      <c r="AB1777" s="2356">
        <f t="shared" si="383"/>
        <v>27</v>
      </c>
      <c r="AC1777" s="2356">
        <f>SUM(AC1752:AC1775)</f>
        <v>20</v>
      </c>
      <c r="AD1777" s="2356">
        <f t="shared" ref="AD1777:AG1777" si="384">SUM(AD1752:AD1775)</f>
        <v>10</v>
      </c>
      <c r="AE1777" s="2356">
        <f t="shared" si="384"/>
        <v>20</v>
      </c>
      <c r="AF1777" s="2356">
        <f t="shared" si="384"/>
        <v>10</v>
      </c>
      <c r="AG1777" s="2356">
        <f t="shared" si="384"/>
        <v>20</v>
      </c>
    </row>
    <row r="1778" spans="1:33" s="1818" customFormat="1" ht="13.5" customHeight="1">
      <c r="A1778" s="2306" t="s">
        <v>712</v>
      </c>
      <c r="B1778" s="2153" t="s">
        <v>2606</v>
      </c>
      <c r="F1778" s="435"/>
      <c r="G1778" s="435"/>
      <c r="H1778" s="1864" t="s">
        <v>7120</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3969</v>
      </c>
      <c r="D1780" s="1719"/>
      <c r="E1780" s="1719"/>
      <c r="F1780" s="2164"/>
      <c r="N1780" s="2255" t="s">
        <v>1893</v>
      </c>
      <c r="P1780" s="2172">
        <f>SUM(P1781:P1783)</f>
        <v>0</v>
      </c>
      <c r="Q1780" s="435" t="s">
        <v>7121</v>
      </c>
    </row>
    <row r="1781" spans="1:33" s="2274" customFormat="1" ht="12.75" customHeight="1">
      <c r="A1781" s="2141"/>
      <c r="B1781" s="2358" t="s">
        <v>1896</v>
      </c>
      <c r="C1781" s="1719" t="s">
        <v>3972</v>
      </c>
      <c r="D1781" s="1719"/>
      <c r="E1781" s="1719"/>
      <c r="F1781" s="2164"/>
      <c r="H1781" s="1864" t="s">
        <v>3298</v>
      </c>
      <c r="J1781" s="2156"/>
      <c r="N1781" s="2359" t="s">
        <v>1896</v>
      </c>
      <c r="P1781" s="2172">
        <f>F1789</f>
        <v>0</v>
      </c>
    </row>
    <row r="1782" spans="1:33" s="2274" customFormat="1" ht="12.75" customHeight="1">
      <c r="A1782" s="2141"/>
      <c r="B1782" s="2358" t="s">
        <v>1898</v>
      </c>
      <c r="C1782" s="1719" t="s">
        <v>7122</v>
      </c>
      <c r="D1782" s="1719"/>
      <c r="E1782" s="1719"/>
      <c r="F1782" s="2164"/>
      <c r="H1782" s="1864" t="s">
        <v>3970</v>
      </c>
      <c r="J1782" s="2156"/>
      <c r="N1782" s="2359" t="s">
        <v>1898</v>
      </c>
      <c r="P1782" s="2172">
        <f>J1789</f>
        <v>0</v>
      </c>
    </row>
    <row r="1783" spans="1:33" s="2274" customFormat="1" ht="12.75" customHeight="1">
      <c r="A1783" s="2141"/>
      <c r="B1783" s="2358" t="s">
        <v>2416</v>
      </c>
      <c r="C1783" s="1719" t="s">
        <v>3971</v>
      </c>
      <c r="D1783" s="1719"/>
      <c r="E1783" s="1719"/>
      <c r="F1783" s="2164"/>
      <c r="H1783" s="1864" t="s">
        <v>3975</v>
      </c>
      <c r="J1783" s="2156"/>
      <c r="N1783" s="2359" t="s">
        <v>2416</v>
      </c>
      <c r="P1783" s="2122"/>
    </row>
    <row r="1784" spans="1:33" s="2274" customFormat="1" ht="12.75" customHeight="1">
      <c r="C1784" s="1905" t="s">
        <v>7043</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7123</v>
      </c>
      <c r="J1786" s="2156"/>
      <c r="M1786" s="2108"/>
      <c r="N1786" s="2255" t="s">
        <v>1895</v>
      </c>
      <c r="P1786" s="2172">
        <f>O1789</f>
        <v>0</v>
      </c>
      <c r="Q1786" s="435" t="s">
        <v>7121</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7044</v>
      </c>
      <c r="B1788" s="1875"/>
      <c r="C1788" s="1875"/>
      <c r="D1788" s="1875"/>
      <c r="E1788" s="1875"/>
      <c r="F1788" s="2044" t="s">
        <v>3544</v>
      </c>
      <c r="G1788" s="435" t="s">
        <v>7045</v>
      </c>
      <c r="H1788" s="435"/>
      <c r="I1788" s="435"/>
      <c r="J1788" s="2044" t="s">
        <v>3544</v>
      </c>
      <c r="K1788" s="2112" t="s">
        <v>7046</v>
      </c>
      <c r="L1788" s="2112"/>
      <c r="M1788" s="2112"/>
      <c r="N1788" s="2112"/>
      <c r="O1788" s="1864" t="s">
        <v>3544</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7124</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6542</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3982</v>
      </c>
      <c r="G1804" s="2112"/>
      <c r="H1804" s="435"/>
      <c r="I1804" s="2156"/>
      <c r="K1804" s="2029"/>
      <c r="L1804" s="2365"/>
      <c r="M1804" s="2108"/>
      <c r="N1804" s="2108"/>
      <c r="O1804" s="2192"/>
      <c r="P1804" s="2192"/>
      <c r="Q1804" s="2108"/>
      <c r="R1804" s="2366"/>
    </row>
    <row r="1805" spans="1:20" s="2274" customFormat="1" ht="13.5" customHeight="1">
      <c r="A1805" s="2141" t="s">
        <v>1893</v>
      </c>
      <c r="B1805" s="2115" t="s">
        <v>7125</v>
      </c>
      <c r="E1805" s="435"/>
      <c r="G1805" s="2112"/>
      <c r="H1805" s="2112" t="s">
        <v>4066</v>
      </c>
      <c r="I1805" s="2367" t="str">
        <f>'Part I-Project Information'!$K$94</f>
        <v>Income Averaging</v>
      </c>
      <c r="M1805" s="2108"/>
      <c r="N1805" s="2108"/>
      <c r="Q1805" s="2108"/>
      <c r="R1805" s="2366"/>
    </row>
    <row r="1806" spans="1:20" s="2284" customFormat="1" ht="9" customHeight="1">
      <c r="A1806" s="2141"/>
      <c r="B1806" s="1719" t="s">
        <v>3976</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3977</v>
      </c>
      <c r="D1808" s="435"/>
      <c r="H1808" s="435" t="s">
        <v>3978</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4265</v>
      </c>
    </row>
    <row r="1809" spans="1:18" s="2284" customFormat="1" ht="13.5" customHeight="1">
      <c r="A1809" s="2255" t="s">
        <v>3104</v>
      </c>
      <c r="B1809" s="2368" t="s">
        <v>1898</v>
      </c>
      <c r="C1809" s="2369" t="s">
        <v>3979</v>
      </c>
      <c r="D1809" s="435"/>
      <c r="I1809" s="1864"/>
      <c r="K1809" s="435"/>
      <c r="L1809" s="1875"/>
      <c r="M1809" s="2117">
        <v>2</v>
      </c>
      <c r="N1809" s="2360" t="s">
        <v>1898</v>
      </c>
      <c r="O1809" s="2371">
        <f>'Part IX Scoring Criteria'!O90</f>
        <v>0</v>
      </c>
      <c r="P1809" s="2192"/>
      <c r="Q1809" s="2282" t="str">
        <f>IF(OR($O1809=$M1809,$O1809=0,$O1809=""),"","*CHECK!*")</f>
        <v/>
      </c>
      <c r="R1809" s="1858" t="s">
        <v>4265</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7126</v>
      </c>
      <c r="E1811" s="2112"/>
      <c r="H1811" s="1864" t="s">
        <v>3980</v>
      </c>
      <c r="I1811" s="1864"/>
      <c r="J1811" s="2372" t="s">
        <v>3981</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3469</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3519</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7127</v>
      </c>
      <c r="J1820" s="1864"/>
      <c r="K1820" s="1864"/>
      <c r="L1820" s="1864"/>
      <c r="M1820" s="2108">
        <v>20</v>
      </c>
      <c r="N1820" s="2360" t="s">
        <v>1893</v>
      </c>
      <c r="O1820" s="2380">
        <f>'Part IX Scoring Criteria'!O101</f>
        <v>20</v>
      </c>
      <c r="P1820" s="2303"/>
      <c r="Q1820" s="2282"/>
      <c r="R1820" s="1858" t="s">
        <v>4265</v>
      </c>
    </row>
    <row r="1821" spans="1:18" s="2284" customFormat="1" ht="12.75" customHeight="1">
      <c r="A1821" s="2141" t="s">
        <v>1895</v>
      </c>
      <c r="B1821" s="1719" t="s">
        <v>3416</v>
      </c>
      <c r="D1821" s="2381"/>
      <c r="F1821" s="2003"/>
      <c r="H1821" s="2009" t="s">
        <v>3485</v>
      </c>
      <c r="I1821" s="1864"/>
      <c r="J1821" s="1864"/>
      <c r="K1821" s="1864"/>
      <c r="L1821" s="1864"/>
      <c r="M1821" s="2164" t="s">
        <v>1192</v>
      </c>
      <c r="N1821" s="2255" t="s">
        <v>1895</v>
      </c>
      <c r="O1821" s="2380">
        <f>'Part IX Scoring Criteria'!O102</f>
        <v>0</v>
      </c>
      <c r="P1821" s="2303"/>
      <c r="R1821" s="1858" t="s">
        <v>4265</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project recieves the full 20 points for desirables. Within two miles there is a elementary school, public park over 25,000 sq ft, grocery store, medical provider, public library, US post office, banks, restaurants and many other retail and commercial services. There are no undesirables and the project location does not fall within an USDA food desert. Please see Tab 27 for the Desirable Activities documentation.</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6382</v>
      </c>
      <c r="I1827" s="1912" t="s">
        <v>6373</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7128</v>
      </c>
      <c r="S1827" s="2244"/>
      <c r="T1827" s="2244"/>
      <c r="U1827" s="2244"/>
    </row>
    <row r="1828" spans="1:21" s="2274" customFormat="1" ht="17.25" customHeight="1">
      <c r="A1828" s="2306"/>
      <c r="B1828" s="1719" t="s">
        <v>3470</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1896</v>
      </c>
      <c r="C1829" s="435" t="s">
        <v>3985</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3986</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6386</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7129</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6547</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3474</v>
      </c>
      <c r="D1835" s="2379"/>
      <c r="F1835" s="1719" t="s">
        <v>3347</v>
      </c>
      <c r="G1835" s="1719"/>
      <c r="H1835" s="1719"/>
      <c r="I1835" s="1719"/>
      <c r="J1835" s="1719" t="s">
        <v>3348</v>
      </c>
      <c r="K1835" s="1719"/>
      <c r="L1835" s="1719"/>
      <c r="M1835" s="1719"/>
      <c r="N1835" s="2255"/>
      <c r="O1835" s="2385" t="s">
        <v>7130</v>
      </c>
      <c r="P1835" s="2385"/>
      <c r="Q1835" s="2108"/>
      <c r="R1835" s="2244"/>
      <c r="S1835" s="2244"/>
      <c r="T1835" s="2244"/>
      <c r="U1835" s="2244"/>
    </row>
    <row r="1836" spans="1:21" s="2274" customFormat="1" ht="12.75" customHeight="1">
      <c r="A1836" s="2306"/>
      <c r="C1836" s="1719" t="s">
        <v>3473</v>
      </c>
      <c r="D1836" s="1989"/>
      <c r="E1836" s="1875"/>
      <c r="F1836" s="1872">
        <f>'Part IX Scoring Criteria'!F117</f>
        <v>32.651513999999999</v>
      </c>
      <c r="G1836" s="1872"/>
      <c r="H1836" s="2386"/>
      <c r="I1836" s="2386"/>
      <c r="J1836" s="1872">
        <f>'Part IX Scoring Criteria'!J117</f>
        <v>-83.749906999999993</v>
      </c>
      <c r="K1836" s="1872"/>
      <c r="L1836" s="2386"/>
      <c r="M1836" s="2386"/>
      <c r="N1836" s="2255"/>
      <c r="Q1836" s="2108"/>
      <c r="R1836" s="2244"/>
      <c r="S1836" s="2244"/>
      <c r="T1836" s="2244"/>
      <c r="U1836" s="2244"/>
    </row>
    <row r="1837" spans="1:21" s="2274" customFormat="1" ht="12.75" customHeight="1">
      <c r="A1837" s="2387" t="s">
        <v>3543</v>
      </c>
      <c r="B1837" s="2387"/>
      <c r="E1837" s="2255" t="s">
        <v>6388</v>
      </c>
      <c r="F1837" s="1872">
        <f>'Part IX Scoring Criteria'!F118</f>
        <v>32.651513999999999</v>
      </c>
      <c r="G1837" s="1872"/>
      <c r="H1837" s="2386"/>
      <c r="I1837" s="2386"/>
      <c r="J1837" s="1872">
        <f>'Part IX Scoring Criteria'!J118</f>
        <v>-83.749906999999993</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3517</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3516</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6383</v>
      </c>
      <c r="B1841" s="2153"/>
      <c r="D1841" s="2379"/>
      <c r="F1841" s="2170" t="s">
        <v>7131</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3369</v>
      </c>
      <c r="D1843" s="2379"/>
      <c r="F1843" s="2156" t="s">
        <v>7132</v>
      </c>
      <c r="M1843" s="2108">
        <v>6</v>
      </c>
      <c r="N1843" s="2359" t="s">
        <v>1893</v>
      </c>
      <c r="O1843" s="2192">
        <f>'Part IX Scoring Criteria'!O124</f>
        <v>0</v>
      </c>
      <c r="P1843" s="2192">
        <f>'Part IX Scoring Criteria'!P124</f>
        <v>0</v>
      </c>
      <c r="Q1843" s="2108"/>
    </row>
    <row r="1844" spans="1:21" s="2274" customFormat="1" ht="12.6" customHeight="1">
      <c r="A1844" s="2257"/>
      <c r="B1844" s="435" t="s">
        <v>6390</v>
      </c>
      <c r="D1844" s="2379"/>
      <c r="F1844" s="2156"/>
      <c r="M1844" s="2108"/>
      <c r="N1844" s="2359"/>
      <c r="O1844" s="2230">
        <f>'Part IX Scoring Criteria'!O125</f>
        <v>0</v>
      </c>
      <c r="P1844" s="2164"/>
      <c r="Q1844" s="2108"/>
    </row>
    <row r="1845" spans="1:21" s="2391" customFormat="1" ht="36.75" customHeight="1">
      <c r="B1845" s="2392" t="s">
        <v>1896</v>
      </c>
      <c r="C1845" s="2223" t="s">
        <v>7133</v>
      </c>
      <c r="D1845" s="2223"/>
      <c r="E1845" s="2223"/>
      <c r="F1845" s="2223"/>
      <c r="G1845" s="2223"/>
      <c r="H1845" s="2223"/>
      <c r="I1845" s="2003" t="s">
        <v>7134</v>
      </c>
      <c r="J1845" s="2003"/>
      <c r="K1845" s="2003"/>
      <c r="L1845" s="2003"/>
      <c r="M1845" s="2309">
        <v>6</v>
      </c>
      <c r="N1845" s="2392" t="s">
        <v>1896</v>
      </c>
      <c r="O1845" s="2393">
        <f>'Part IX Scoring Criteria'!O126</f>
        <v>0</v>
      </c>
      <c r="P1845" s="2394"/>
      <c r="Q1845" s="2282"/>
      <c r="R1845" s="1858" t="s">
        <v>4265</v>
      </c>
    </row>
    <row r="1846" spans="1:21" s="2391" customFormat="1" ht="12" customHeight="1">
      <c r="A1846" s="2164" t="s">
        <v>1304</v>
      </c>
      <c r="B1846" s="2392" t="s">
        <v>1898</v>
      </c>
      <c r="C1846" s="2223" t="s">
        <v>6385</v>
      </c>
      <c r="D1846" s="2223"/>
      <c r="E1846" s="2223"/>
      <c r="F1846" s="2223"/>
      <c r="G1846" s="2223"/>
      <c r="I1846" s="2003"/>
      <c r="J1846" s="2003"/>
      <c r="K1846" s="2003"/>
      <c r="L1846" s="2003"/>
      <c r="M1846" s="2108">
        <v>5</v>
      </c>
      <c r="N1846" s="2384" t="s">
        <v>1898</v>
      </c>
      <c r="O1846" s="2380">
        <f>'Part IX Scoring Criteria'!O127</f>
        <v>0</v>
      </c>
      <c r="P1846" s="2303"/>
      <c r="Q1846" s="2282"/>
      <c r="R1846" s="1858" t="s">
        <v>4265</v>
      </c>
    </row>
    <row r="1847" spans="1:21" s="2391" customFormat="1" ht="12" customHeight="1">
      <c r="B1847" s="2392"/>
      <c r="C1847" s="2223"/>
      <c r="D1847" s="2223"/>
      <c r="E1847" s="2223"/>
      <c r="F1847" s="2223"/>
      <c r="G1847" s="1864" t="s">
        <v>6389</v>
      </c>
      <c r="H1847" s="1864"/>
      <c r="I1847" s="2003"/>
      <c r="J1847" s="2003"/>
      <c r="K1847" s="2003"/>
      <c r="L1847" s="2003"/>
      <c r="M1847" s="435" t="str">
        <f>IF(AND(O1846&gt;0,O1845&gt;0),"Pick A1 or A2!","")</f>
        <v/>
      </c>
      <c r="N1847" s="435"/>
      <c r="O1847" s="435"/>
      <c r="P1847" s="435"/>
      <c r="Q1847" s="2282"/>
      <c r="R1847" s="2044" t="s">
        <v>6566</v>
      </c>
      <c r="S1847" s="2044" t="s">
        <v>6384</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3370</v>
      </c>
      <c r="C1850" s="1843"/>
      <c r="D1850" s="1843"/>
      <c r="F1850" s="2227" t="s">
        <v>7135</v>
      </c>
      <c r="I1850" s="1951" t="str">
        <f>'Part IX Scoring Criteria'!I131</f>
        <v>Peach County Transit</v>
      </c>
      <c r="J1850" s="1951"/>
      <c r="K1850" s="1951"/>
      <c r="L1850" s="2398" t="str">
        <f>'Part IX Scoring Criteria'!L131</f>
        <v>478-825-5995</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3984</v>
      </c>
      <c r="D1851" s="2381"/>
      <c r="F1851" s="2284"/>
      <c r="G1851" s="2284"/>
      <c r="H1851" s="2156"/>
      <c r="I1851" s="1951"/>
      <c r="J1851" s="1951"/>
      <c r="K1851" s="1951"/>
      <c r="L1851" s="2398"/>
      <c r="M1851" s="2284"/>
      <c r="N1851" s="2255" t="s">
        <v>3394</v>
      </c>
      <c r="O1851" s="2230">
        <f>'Part IX Scoring Criteria'!O132</f>
        <v>0</v>
      </c>
      <c r="P1851" s="2164"/>
      <c r="Q1851" s="2108"/>
      <c r="R1851" s="1967"/>
      <c r="S1851" s="2391"/>
      <c r="T1851" s="2391"/>
      <c r="U1851" s="2391"/>
    </row>
    <row r="1852" spans="1:21" s="2274" customFormat="1" ht="11.25" customHeight="1">
      <c r="A1852" s="2306"/>
      <c r="B1852" s="2255" t="s">
        <v>3395</v>
      </c>
      <c r="C1852" s="1864" t="s">
        <v>3983</v>
      </c>
      <c r="D1852" s="2381"/>
      <c r="F1852" s="2284"/>
      <c r="G1852" s="2284"/>
      <c r="H1852" s="2156"/>
      <c r="I1852" s="1951" t="str">
        <f>'Part IX Scoring Criteria'!I133</f>
        <v>https://www.peachcounty.net/contact.cfm</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1896</v>
      </c>
      <c r="C1853" s="435" t="s">
        <v>7136</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4265</v>
      </c>
    </row>
    <row r="1854" spans="1:21" s="2274" customFormat="1" ht="12" customHeight="1">
      <c r="A1854" s="2164" t="s">
        <v>1304</v>
      </c>
      <c r="B1854" s="2400" t="s">
        <v>1898</v>
      </c>
      <c r="C1854" s="435" t="s">
        <v>7137</v>
      </c>
      <c r="D1854" s="435"/>
      <c r="E1854" s="435"/>
      <c r="F1854" s="435"/>
      <c r="G1854" s="435"/>
      <c r="H1854" s="435"/>
      <c r="I1854" s="1951" t="str">
        <f>'Part IX Scoring Criteria'!I135</f>
        <v>http://www.peachcounty.net/public-transportation.cfm</v>
      </c>
      <c r="J1854" s="1951"/>
      <c r="K1854" s="1951"/>
      <c r="L1854" s="1951"/>
      <c r="M1854" s="2108">
        <v>2</v>
      </c>
      <c r="N1854" s="2384" t="s">
        <v>1898</v>
      </c>
      <c r="O1854" s="2371">
        <f>'Part IX Scoring Criteria'!O135</f>
        <v>0</v>
      </c>
      <c r="P1854" s="2192"/>
      <c r="Q1854" s="2397" t="str">
        <f>IF(OR($O1854=$M1854,$O1854=0,$O1854=""),"","*CHECK!*")</f>
        <v/>
      </c>
      <c r="R1854" s="1858" t="s">
        <v>4265</v>
      </c>
    </row>
    <row r="1855" spans="1:21" s="2274" customFormat="1" ht="21.75" customHeight="1">
      <c r="A1855" s="2252" t="s">
        <v>1304</v>
      </c>
      <c r="B1855" s="2401" t="s">
        <v>2416</v>
      </c>
      <c r="C1855" s="2223" t="s">
        <v>7138</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4265</v>
      </c>
    </row>
    <row r="1856" spans="1:21" s="2274" customFormat="1" ht="12.6" customHeight="1">
      <c r="A1856" s="2390" t="s">
        <v>2608</v>
      </c>
      <c r="B1856" s="1719"/>
      <c r="E1856" s="2379"/>
      <c r="I1856" s="1951" t="str">
        <f>'Part IX Scoring Criteria'!I137</f>
        <v>http://www.peachcounty.net/public-transportation.cfm</v>
      </c>
      <c r="J1856" s="1951"/>
      <c r="K1856" s="1951"/>
      <c r="L1856" s="1951"/>
      <c r="M1856" s="2108"/>
      <c r="N1856" s="2108"/>
      <c r="O1856" s="2108"/>
      <c r="P1856" s="2108"/>
      <c r="Q1856" s="2366"/>
      <c r="R1856" s="2366"/>
    </row>
    <row r="1857" spans="1:19" s="2284" customFormat="1" ht="12" customHeight="1">
      <c r="A1857" s="2141"/>
      <c r="B1857" s="2392" t="s">
        <v>1178</v>
      </c>
      <c r="C1857" s="1719" t="s">
        <v>7139</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4265</v>
      </c>
    </row>
    <row r="1858" spans="1:19" s="2284" customFormat="1" ht="12" customHeight="1">
      <c r="A1858" s="2141"/>
      <c r="B1858" s="2392"/>
      <c r="C1858" s="1719" t="s">
        <v>7140</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7141</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Peach County Transit offers on call transportation available to all residents at the proposed development. The service is available 5 days a week at a reasonable cost. Please see Tab 28 of the application for support documentation.</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6394</v>
      </c>
      <c r="C1866" s="2228"/>
      <c r="D1866" s="2228"/>
      <c r="E1866" s="2228"/>
      <c r="G1866" s="2044" t="s">
        <v>3987</v>
      </c>
      <c r="H1866" s="1912" t="str">
        <f>'Part I-Project Information'!$H$77</f>
        <v>Family</v>
      </c>
      <c r="M1866" s="2108">
        <v>3</v>
      </c>
      <c r="N1866" s="2309"/>
      <c r="O1866" s="2110">
        <f>'Part IX Scoring Criteria'!O147</f>
        <v>1.5</v>
      </c>
      <c r="P1866" s="2108"/>
      <c r="Q1866" s="2282" t="str">
        <f>IF(OR($O1866&lt;=$M1866,$O1866=0,$O1866=""),"","*CHECK!*")</f>
        <v/>
      </c>
      <c r="R1866" s="2105" t="s">
        <v>422</v>
      </c>
      <c r="S1866" s="1858" t="s">
        <v>4265</v>
      </c>
    </row>
    <row r="1867" spans="1:19" ht="18.75" customHeight="1">
      <c r="C1867" s="1972" t="s">
        <v>7142</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7047</v>
      </c>
      <c r="I1868" s="1950"/>
      <c r="J1868" s="1950"/>
      <c r="K1868" s="2045" t="s">
        <v>7048</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6837</v>
      </c>
      <c r="D1870" s="2293"/>
      <c r="E1870" s="2403"/>
      <c r="F1870" s="1852"/>
      <c r="G1870" s="1852"/>
      <c r="H1870" s="1950"/>
      <c r="I1870" s="1950"/>
      <c r="J1870" s="1950"/>
      <c r="K1870" s="2045"/>
      <c r="L1870" s="2045"/>
      <c r="M1870" s="2403"/>
    </row>
    <row r="1871" spans="1:19">
      <c r="B1871" s="2084"/>
      <c r="C1871" s="2070" t="str">
        <f>'Part IX Scoring Criteria'!C152</f>
        <v>Byron Elementary School - 1050</v>
      </c>
      <c r="D1871" s="2070"/>
      <c r="E1871" s="2070"/>
      <c r="F1871" s="2070"/>
      <c r="G1871" s="2070"/>
      <c r="H1871" s="2111" t="str">
        <f>'Part IX Scoring Criteria'!H152</f>
        <v>No</v>
      </c>
      <c r="I1871" s="2111"/>
      <c r="J1871" s="2111"/>
      <c r="K1871" s="2111" t="str">
        <f>'Part IX Scoring Criteria'!K152</f>
        <v>No</v>
      </c>
      <c r="L1871" s="2111"/>
      <c r="M1871" s="2145"/>
    </row>
    <row r="1872" spans="1:19">
      <c r="B1872" s="2084"/>
      <c r="C1872" s="2070" t="str">
        <f>'Part IX Scoring Criteria'!C153</f>
        <v>Byron Middle School - 0197</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Peach County High School - 2052</v>
      </c>
      <c r="D1873" s="2070"/>
      <c r="E1873" s="2070"/>
      <c r="F1873" s="2070"/>
      <c r="G1873" s="2070"/>
      <c r="H1873" s="2111" t="str">
        <f>'Part IX Scoring Criteria'!H154</f>
        <v>No</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projects location is within the attendance zone of Byron Elementary, Byron Middle and Peach County High School. Byron Middle School and Peach County High School received Beating the Odds Designation for 2018 and 2019. Additionally, the two year CCRPI scores for Byron Middle School are above the minimum average per the QAP and the middle school serves three grade levels. Please see Tab 29 for Quality Education documentation.</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3487</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6428</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7049</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4265</v>
      </c>
      <c r="S1885" s="1855"/>
      <c r="T1885" s="1855"/>
      <c r="U1885" s="1855"/>
    </row>
    <row r="1886" spans="1:21" s="2158" customFormat="1" ht="12" customHeight="1">
      <c r="B1886" s="2224" t="s">
        <v>2324</v>
      </c>
      <c r="C1886" s="2223" t="s">
        <v>7143</v>
      </c>
      <c r="D1886" s="2223"/>
      <c r="E1886" s="2223"/>
      <c r="F1886" s="2223"/>
      <c r="G1886" s="2223"/>
      <c r="H1886" s="2223"/>
      <c r="I1886" s="2223"/>
      <c r="J1886" s="2223"/>
      <c r="K1886" s="2223"/>
      <c r="L1886" s="2224"/>
      <c r="M1886" s="2112" t="s">
        <v>6302</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4159</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6426</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6427</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6549</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7050</v>
      </c>
      <c r="D1893" s="2223"/>
      <c r="E1893" s="2223"/>
      <c r="F1893" s="2223"/>
      <c r="G1893" s="2223"/>
      <c r="H1893" s="2223"/>
      <c r="I1893" s="2223"/>
      <c r="J1893" s="2223"/>
      <c r="K1893" s="2223"/>
      <c r="L1893" s="2223"/>
      <c r="M1893" s="2252">
        <v>1</v>
      </c>
      <c r="N1893" s="2224" t="s">
        <v>4285</v>
      </c>
      <c r="O1893" s="2407">
        <f>'Part IX Scoring Criteria'!O174</f>
        <v>0</v>
      </c>
      <c r="P1893" s="2362"/>
      <c r="Q1893" s="2282" t="str">
        <f>IF(OR($O1893=$M1893,$O1893=0,$O1893=""),"","*CHECK!*")</f>
        <v/>
      </c>
      <c r="R1893" s="1858" t="s">
        <v>4265</v>
      </c>
    </row>
    <row r="1894" spans="1:22" s="1852" customFormat="1" ht="36.75" customHeight="1">
      <c r="A1894" s="2255"/>
      <c r="B1894" s="2224" t="s">
        <v>2325</v>
      </c>
      <c r="C1894" s="2223" t="s">
        <v>7051</v>
      </c>
      <c r="D1894" s="2223"/>
      <c r="E1894" s="2223"/>
      <c r="F1894" s="2223"/>
      <c r="G1894" s="2223"/>
      <c r="H1894" s="2223"/>
      <c r="I1894" s="2223"/>
      <c r="J1894" s="2223"/>
      <c r="K1894" s="2223"/>
      <c r="L1894" s="2223"/>
      <c r="M1894" s="2252">
        <v>1</v>
      </c>
      <c r="N1894" s="2224" t="s">
        <v>6563</v>
      </c>
      <c r="O1894" s="2410">
        <f>'Part IX Scoring Criteria'!O175</f>
        <v>0</v>
      </c>
      <c r="P1894" s="2411"/>
      <c r="Q1894" s="2282" t="str">
        <f>IF(OR($O1894=$M1894,$O1894=0,$O1894=""),"","*CHECK!*")</f>
        <v/>
      </c>
      <c r="R1894" s="1858" t="s">
        <v>4265</v>
      </c>
    </row>
    <row r="1895" spans="1:22" s="1852" customFormat="1" ht="12" customHeight="1">
      <c r="A1895" s="2255"/>
      <c r="B1895" s="2255" t="s">
        <v>2326</v>
      </c>
      <c r="C1895" s="2223" t="s">
        <v>7052</v>
      </c>
      <c r="D1895" s="2223"/>
      <c r="E1895" s="2223"/>
      <c r="F1895" s="2223"/>
      <c r="G1895" s="2223"/>
      <c r="H1895" s="2223"/>
      <c r="I1895" s="2223"/>
      <c r="J1895" s="2223"/>
      <c r="K1895" s="2223"/>
      <c r="L1895" s="2223"/>
      <c r="M1895" s="2164">
        <v>1</v>
      </c>
      <c r="N1895" s="2255" t="s">
        <v>6564</v>
      </c>
      <c r="O1895" s="2407">
        <f>'Part IX Scoring Criteria'!O176</f>
        <v>0</v>
      </c>
      <c r="P1895" s="2362"/>
      <c r="Q1895" s="2282" t="str">
        <f>IF(OR($O1895=$M1895,$O1895=0,$O1895=""),"","*CHECK!*")</f>
        <v/>
      </c>
      <c r="R1895" s="1858" t="s">
        <v>4265</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3988</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4265</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N/A</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3488</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3828</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6550</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7053</v>
      </c>
      <c r="D1906" s="1818"/>
      <c r="G1906" s="2290"/>
      <c r="O1906" s="2164"/>
      <c r="P1906" s="2164"/>
      <c r="Q1906" s="1912"/>
    </row>
    <row r="1907" spans="1:24" s="2309" customFormat="1" ht="12.75" customHeight="1">
      <c r="B1907" s="2392" t="s">
        <v>1896</v>
      </c>
      <c r="C1907" s="2223" t="s">
        <v>6467</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6468</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6471</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6469</v>
      </c>
      <c r="D1910" s="1818"/>
      <c r="G1910" s="2290"/>
      <c r="O1910" s="2164"/>
      <c r="P1910" s="2164"/>
      <c r="Q1910" s="1912"/>
    </row>
    <row r="1911" spans="1:24" s="2309" customFormat="1" ht="23.25" customHeight="1">
      <c r="B1911" s="2392" t="s">
        <v>1896</v>
      </c>
      <c r="C1911" s="2223" t="s">
        <v>7054</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7055</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N/A</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7</v>
      </c>
      <c r="P1918" s="2192">
        <f>'Part IX Scoring Criteria'!P199</f>
        <v>0</v>
      </c>
      <c r="Q1918" s="2108" t="s">
        <v>422</v>
      </c>
      <c r="R1918" s="1858" t="s">
        <v>4265</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3989</v>
      </c>
      <c r="D1920" s="2156"/>
      <c r="E1920" s="2156"/>
      <c r="K1920" s="2418"/>
      <c r="M1920" s="2108">
        <v>5</v>
      </c>
      <c r="N1920" s="2255" t="s">
        <v>1893</v>
      </c>
      <c r="O1920" s="2371">
        <f>'Part IX Scoring Criteria'!O201</f>
        <v>4</v>
      </c>
      <c r="P1920" s="2192"/>
      <c r="Q1920" s="2282" t="str">
        <f>IF(O1920&lt;=M1920,"","*CHECK!*")</f>
        <v/>
      </c>
      <c r="R1920" s="1858" t="s">
        <v>4265</v>
      </c>
      <c r="S1920" s="2003"/>
      <c r="T1920" s="2003"/>
      <c r="U1920" s="2003"/>
    </row>
    <row r="1921" spans="1:22" ht="12.75" customHeight="1">
      <c r="B1921" s="2419"/>
      <c r="C1921" s="2160" t="s">
        <v>6552</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6553</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6473</v>
      </c>
      <c r="C1924" s="435"/>
      <c r="G1924" s="2055" t="s">
        <v>6534</v>
      </c>
      <c r="H1924" s="2253">
        <f>'Part IX Scoring Criteria'!H205</f>
        <v>2019</v>
      </c>
      <c r="K1924" s="2255"/>
      <c r="L1924" s="2255"/>
      <c r="M1924" s="2108">
        <v>5</v>
      </c>
      <c r="N1924" s="2255" t="s">
        <v>1895</v>
      </c>
      <c r="O1924" s="2371">
        <f>'Part IX Scoring Criteria'!O205</f>
        <v>3</v>
      </c>
      <c r="P1924" s="2192"/>
      <c r="Q1924" s="2282" t="str">
        <f>IF(O1924&lt;=M1924,"","*CHECK!*")</f>
        <v/>
      </c>
      <c r="R1924" s="1858" t="s">
        <v>4265</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6479</v>
      </c>
      <c r="E1926" s="2045"/>
      <c r="F1926" s="2428" t="s">
        <v>6478</v>
      </c>
      <c r="G1926" s="2428"/>
      <c r="H1926" s="2428"/>
      <c r="I1926" s="2428"/>
      <c r="J1926" s="2428"/>
      <c r="K1926" s="2428"/>
      <c r="L1926" s="2428"/>
      <c r="M1926" s="2045"/>
    </row>
    <row r="1927" spans="1:22" ht="13.5" customHeight="1">
      <c r="B1927" s="1926"/>
      <c r="C1927" s="2045"/>
      <c r="D1927" s="2160" t="s">
        <v>6476</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6477</v>
      </c>
      <c r="E1928" s="2160"/>
      <c r="F1928" s="2429" t="str">
        <f>'Part IX Scoring Criteria'!F209</f>
        <v>Above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6474</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6475</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The project is located in census tract 13225040102. The percentage below the poverty line accourding to US Census FFIEC data is 12.26%. The location is a USDA rual eligible location and is therefore eligible for 4 points under Low-poverty communites scoring section. Additionally, the census tract has Health Insurance Coverage Rate and Life Expectancy rates above the 60th percentile thresholds and Median Income for 2019 is above the 60th percentile threshold. The property is eligible for seven points in this scoring section.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4239</v>
      </c>
      <c r="C1939" s="2112"/>
      <c r="G1939" s="1912" t="s">
        <v>6542</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6543</v>
      </c>
      <c r="D1940" s="435"/>
      <c r="E1940" s="435"/>
      <c r="F1940" s="2108"/>
      <c r="G1940" s="2164" t="s">
        <v>3274</v>
      </c>
      <c r="H1940" s="2261">
        <f>IF('Part VI-Revenues &amp; Expenses'!$P$67=0,0,'Part VI-Revenues &amp; Expenses'!$P$64/'Part VI-Revenues &amp; Expenses'!$P$67)</f>
        <v>0</v>
      </c>
      <c r="J1940" s="2290" t="s">
        <v>4162</v>
      </c>
      <c r="K1940" s="2262" t="str">
        <f>'Part I-Project Information'!$K$94</f>
        <v>Income Averaging</v>
      </c>
      <c r="L1940" s="2262"/>
      <c r="M1940" s="2164"/>
      <c r="N1940" s="2108"/>
      <c r="O1940" s="2051"/>
      <c r="P1940" s="2192"/>
    </row>
    <row r="1941" spans="1:24" s="1852" customFormat="1" ht="12" customHeight="1">
      <c r="A1941" s="2117" t="s">
        <v>1893</v>
      </c>
      <c r="B1941" s="2112" t="s">
        <v>4160</v>
      </c>
      <c r="C1941" s="2112"/>
      <c r="D1941" s="2112" t="s">
        <v>4161</v>
      </c>
      <c r="M1941" s="2108">
        <v>1</v>
      </c>
      <c r="N1941" s="2255" t="s">
        <v>1893</v>
      </c>
      <c r="O1941" s="2371">
        <f>'Part IX Scoring Criteria'!O222</f>
        <v>0</v>
      </c>
      <c r="P1941" s="2192"/>
      <c r="Q1941" s="2397" t="str">
        <f>IF(OR($O1941=$M1941,$O1941=0,$O1941=""),"","*CHECK!*")</f>
        <v/>
      </c>
      <c r="R1941" s="1858" t="s">
        <v>4265</v>
      </c>
    </row>
    <row r="1942" spans="1:24" s="1852" customFormat="1" ht="12" customHeight="1">
      <c r="A1942" s="2117" t="s">
        <v>1895</v>
      </c>
      <c r="B1942" s="2112" t="s">
        <v>3977</v>
      </c>
      <c r="C1942" s="2112"/>
      <c r="D1942" s="2112" t="s">
        <v>4244</v>
      </c>
      <c r="M1942" s="2051">
        <v>1</v>
      </c>
      <c r="N1942" s="2255" t="s">
        <v>1895</v>
      </c>
      <c r="O1942" s="2371">
        <f>'Part IX Scoring Criteria'!O223</f>
        <v>1</v>
      </c>
      <c r="P1942" s="2192"/>
      <c r="Q1942" s="2397" t="str">
        <f>IF(OR($O1942=$M1942,$O1942=0,$O1942=""),"","*CHECK!*")</f>
        <v/>
      </c>
      <c r="R1942" s="1858" t="s">
        <v>4265</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3489</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3397</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3398</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4241</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4265</v>
      </c>
      <c r="S1956" s="1856"/>
      <c r="T1956" s="1856"/>
      <c r="U1956" s="1856"/>
      <c r="V1956" s="1856"/>
      <c r="W1956" s="1967"/>
      <c r="X1956" s="1967"/>
    </row>
    <row r="1957" spans="1:27" s="2112" customFormat="1" ht="11.25">
      <c r="A1957" s="2392"/>
      <c r="B1957" s="2223" t="s">
        <v>6554</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6555</v>
      </c>
      <c r="E1958" s="2121" t="s">
        <v>3454</v>
      </c>
      <c r="G1958" s="2230">
        <f>'Part IX Scoring Criteria'!G239</f>
        <v>0</v>
      </c>
      <c r="H1958" s="2255" t="s">
        <v>587</v>
      </c>
      <c r="I1958" s="2111">
        <f>'Part IX Scoring Criteria'!I239</f>
        <v>0</v>
      </c>
      <c r="J1958" s="2111"/>
      <c r="L1958" s="2433" t="s">
        <v>6557</v>
      </c>
      <c r="M1958" s="2434">
        <f>'Part IX Scoring Criteria'!M239</f>
        <v>0</v>
      </c>
      <c r="N1958" s="2434"/>
    </row>
    <row r="1959" spans="1:27" s="435" customFormat="1" ht="11.25" customHeight="1">
      <c r="A1959" s="2384"/>
      <c r="B1959" s="2392" t="s">
        <v>1898</v>
      </c>
      <c r="C1959" s="2160" t="s">
        <v>6556</v>
      </c>
      <c r="E1959" s="2121" t="s">
        <v>3454</v>
      </c>
      <c r="G1959" s="2230">
        <f>'Part IX Scoring Criteria'!G240</f>
        <v>0</v>
      </c>
      <c r="H1959" s="2255" t="s">
        <v>587</v>
      </c>
      <c r="I1959" s="2111">
        <f>'Part IX Scoring Criteria'!I240</f>
        <v>0</v>
      </c>
      <c r="J1959" s="2111"/>
      <c r="L1959" s="2433" t="s">
        <v>6557</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4163</v>
      </c>
      <c r="D1966" s="2379"/>
      <c r="E1966" s="2112" t="s">
        <v>6568</v>
      </c>
      <c r="G1966" s="2170"/>
      <c r="M1966" s="2108">
        <v>5</v>
      </c>
      <c r="N1966" s="2108"/>
      <c r="O1966" s="2192">
        <f>'Part IX Scoring Criteria'!O247</f>
        <v>4</v>
      </c>
      <c r="P1966" s="2192">
        <f>'Part IX Scoring Criteria'!P247</f>
        <v>0</v>
      </c>
      <c r="Q1966" s="2108" t="s">
        <v>422</v>
      </c>
      <c r="R1966" s="1858" t="s">
        <v>4265</v>
      </c>
      <c r="S1966" s="2435"/>
      <c r="T1966" s="2435"/>
      <c r="U1966" s="2435"/>
      <c r="V1966" s="2435"/>
      <c r="W1966" s="1967"/>
      <c r="X1966" s="1967"/>
    </row>
    <row r="1967" spans="1:27" s="1818" customFormat="1" ht="11.25" customHeight="1">
      <c r="A1967" s="2141" t="s">
        <v>1893</v>
      </c>
      <c r="B1967" s="1719" t="s">
        <v>7056</v>
      </c>
      <c r="M1967" s="2108">
        <v>5</v>
      </c>
      <c r="N1967" s="2255" t="s">
        <v>1893</v>
      </c>
      <c r="O1967" s="2371">
        <f>'Part IX Scoring Criteria'!O248</f>
        <v>4</v>
      </c>
      <c r="P1967" s="2192"/>
      <c r="Q1967" s="2397" t="str">
        <f>IF(OR($O1967=$M1967,$O1967=$M1967-1,$O1967=0,$O1967=""),"","*CHECK!*")</f>
        <v/>
      </c>
      <c r="R1967" s="1858" t="s">
        <v>4265</v>
      </c>
      <c r="S1967" s="2435"/>
      <c r="T1967" s="2435"/>
      <c r="U1967" s="2435"/>
      <c r="V1967" s="2435"/>
    </row>
    <row r="1968" spans="1:27" s="1818" customFormat="1" ht="11.25" customHeight="1">
      <c r="A1968" s="2141" t="s">
        <v>1895</v>
      </c>
      <c r="B1968" s="1719" t="s">
        <v>6569</v>
      </c>
      <c r="M1968" s="2108">
        <v>3</v>
      </c>
      <c r="N1968" s="2255" t="s">
        <v>1895</v>
      </c>
      <c r="O1968" s="2371">
        <f>'Part IX Scoring Criteria'!O249</f>
        <v>0</v>
      </c>
      <c r="P1968" s="2192"/>
      <c r="Q1968" s="2397" t="str">
        <f>IF(OR($O1968=$M1968,$O1968=$M1968-1,$O1968=0,$O1968=""),"","*CHECK!*")</f>
        <v/>
      </c>
      <c r="R1968" s="1858" t="s">
        <v>4265</v>
      </c>
    </row>
    <row r="1969" spans="1:21" s="1852" customFormat="1">
      <c r="A1969" s="2141" t="s">
        <v>719</v>
      </c>
      <c r="B1969" s="1719" t="s">
        <v>6570</v>
      </c>
      <c r="E1969" s="2121" t="s">
        <v>6498</v>
      </c>
      <c r="I1969" s="2282"/>
      <c r="L1969" s="1818"/>
      <c r="M1969" s="2108">
        <v>3</v>
      </c>
      <c r="N1969" s="2255" t="s">
        <v>719</v>
      </c>
      <c r="O1969" s="2371">
        <f>'Part IX Scoring Criteria'!O250</f>
        <v>0</v>
      </c>
      <c r="P1969" s="2192"/>
      <c r="Q1969" s="2397" t="str">
        <f>IF(OR($O1969=$M1969,$O1969=$M1969-1,$O1969=0,$O1969=""),"","*CHECK!*")</f>
        <v/>
      </c>
      <c r="R1969" s="1858" t="s">
        <v>4265</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There has been only one award within the City limits of Byron in the last 15 years which was prior to January 1, 2015, therefore the project is eligible for 4 points.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4266</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3992</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3993</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3994</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4154</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4155</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3995</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7144</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6500</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3521</v>
      </c>
      <c r="B1988" s="2153" t="s">
        <v>3490</v>
      </c>
      <c r="C1988" s="2112"/>
      <c r="D1988" s="2112"/>
      <c r="E1988" s="435"/>
      <c r="G1988" s="2112"/>
      <c r="I1988" s="1912" t="s">
        <v>6542</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6501</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1893</v>
      </c>
      <c r="B1990" s="1719" t="s">
        <v>3491</v>
      </c>
      <c r="C1990" s="2112"/>
      <c r="D1990" s="2112"/>
      <c r="E1990" s="435"/>
      <c r="G1990" s="2168">
        <f>'Part VIII-Threshold Criteria'!I2051</f>
        <v>0</v>
      </c>
      <c r="I1990" s="2121" t="s">
        <v>4286</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4018</v>
      </c>
      <c r="D1991" s="1818"/>
      <c r="N1991" s="2384" t="s">
        <v>4019</v>
      </c>
      <c r="O1991" s="2230">
        <f>'Part IX Scoring Criteria'!O272</f>
        <v>0</v>
      </c>
      <c r="P1991" s="2164"/>
      <c r="R1991" s="2366"/>
    </row>
    <row r="1992" spans="1:21" s="2284" customFormat="1" ht="10.5" customHeight="1">
      <c r="A1992" s="2141"/>
      <c r="B1992" s="2384"/>
      <c r="C1992" s="435" t="s">
        <v>6502</v>
      </c>
      <c r="D1992" s="1818"/>
      <c r="N1992" s="2384" t="s">
        <v>4020</v>
      </c>
      <c r="O1992" s="2230">
        <f>'Part IX Scoring Criteria'!O273</f>
        <v>0</v>
      </c>
      <c r="P1992" s="2164"/>
      <c r="R1992" s="2366"/>
    </row>
    <row r="1993" spans="1:21" s="2284" customFormat="1" ht="10.5" customHeight="1">
      <c r="A1993" s="2141"/>
      <c r="B1993" s="2384" t="s">
        <v>1898</v>
      </c>
      <c r="C1993" s="435" t="s">
        <v>3497</v>
      </c>
      <c r="D1993" s="1818"/>
      <c r="N1993" s="2384" t="s">
        <v>1898</v>
      </c>
      <c r="O1993" s="2230">
        <f>'Part IX Scoring Criteria'!O274</f>
        <v>0</v>
      </c>
      <c r="P1993" s="2164"/>
      <c r="R1993" s="2366"/>
    </row>
    <row r="1994" spans="1:21" s="2284" customFormat="1" ht="10.5" customHeight="1">
      <c r="A1994" s="2141"/>
      <c r="B1994" s="2384" t="s">
        <v>2416</v>
      </c>
      <c r="C1994" s="435" t="s">
        <v>4021</v>
      </c>
      <c r="D1994" s="1818"/>
      <c r="N1994" s="2384" t="s">
        <v>2416</v>
      </c>
      <c r="O1994" s="2230">
        <f>'Part IX Scoring Criteria'!O275</f>
        <v>0</v>
      </c>
      <c r="P1994" s="2164"/>
      <c r="R1994" s="2366"/>
    </row>
    <row r="1995" spans="1:21" s="2284" customFormat="1" ht="10.5" customHeight="1">
      <c r="B1995" s="2384" t="s">
        <v>1178</v>
      </c>
      <c r="C1995" s="435" t="s">
        <v>3498</v>
      </c>
      <c r="D1995" s="1818"/>
      <c r="N1995" s="2384" t="s">
        <v>1178</v>
      </c>
      <c r="O1995" s="2230">
        <f>'Part IX Scoring Criteria'!O276</f>
        <v>0</v>
      </c>
      <c r="P1995" s="2164"/>
      <c r="R1995" s="2366"/>
    </row>
    <row r="1996" spans="1:21" s="2274" customFormat="1" ht="12" customHeight="1">
      <c r="A1996" s="2141" t="s">
        <v>1895</v>
      </c>
      <c r="B1996" s="1719" t="s">
        <v>3492</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4018</v>
      </c>
      <c r="D1997" s="435"/>
      <c r="E1997" s="435"/>
      <c r="M1997" s="2108"/>
      <c r="N1997" s="2384" t="s">
        <v>4019</v>
      </c>
      <c r="O1997" s="2230">
        <f>'Part IX Scoring Criteria'!O278</f>
        <v>0</v>
      </c>
      <c r="P1997" s="2164"/>
      <c r="Q1997" s="2108"/>
    </row>
    <row r="1998" spans="1:21" s="2284" customFormat="1" ht="10.5" customHeight="1">
      <c r="A1998" s="2141"/>
      <c r="B1998" s="2384"/>
      <c r="C1998" s="435" t="s">
        <v>6503</v>
      </c>
      <c r="D1998" s="1818"/>
      <c r="N1998" s="2384" t="s">
        <v>4020</v>
      </c>
      <c r="O1998" s="2230">
        <f>'Part IX Scoring Criteria'!O279</f>
        <v>0</v>
      </c>
      <c r="P1998" s="2164"/>
      <c r="R1998" s="2366"/>
    </row>
    <row r="1999" spans="1:21" s="2284" customFormat="1" ht="10.5" customHeight="1">
      <c r="A1999" s="2141"/>
      <c r="B1999" s="2384" t="s">
        <v>1898</v>
      </c>
      <c r="C1999" s="435" t="s">
        <v>3509</v>
      </c>
      <c r="D1999" s="1818"/>
      <c r="N1999" s="2384" t="s">
        <v>1898</v>
      </c>
      <c r="O1999" s="2230">
        <f>'Part IX Scoring Criteria'!O280</f>
        <v>0</v>
      </c>
      <c r="P1999" s="2164"/>
      <c r="R1999" s="2366"/>
    </row>
    <row r="2000" spans="1:21" s="2284" customFormat="1" ht="10.5" customHeight="1">
      <c r="B2000" s="2384" t="s">
        <v>2416</v>
      </c>
      <c r="C2000" s="435" t="s">
        <v>3498</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3522</v>
      </c>
      <c r="B2005" s="2153" t="s">
        <v>1597</v>
      </c>
      <c r="D2005" s="2112"/>
      <c r="E2005" s="2112"/>
      <c r="G2005" s="435"/>
      <c r="M2005" s="2108">
        <v>2</v>
      </c>
      <c r="N2005" s="2437"/>
      <c r="O2005" s="2371">
        <f>'Part IX Scoring Criteria'!O286</f>
        <v>2</v>
      </c>
      <c r="P2005" s="2192"/>
      <c r="Q2005" s="2108" t="s">
        <v>422</v>
      </c>
      <c r="R2005" s="1907" t="s">
        <v>4265</v>
      </c>
      <c r="S2005" s="1907"/>
    </row>
    <row r="2006" spans="1:19" s="2274" customFormat="1" ht="11.25" customHeight="1">
      <c r="A2006" s="2141"/>
      <c r="B2006" s="2121" t="s">
        <v>3275</v>
      </c>
      <c r="D2006" s="2112"/>
      <c r="E2006" s="2112"/>
      <c r="G2006" s="435"/>
      <c r="I2006" s="2111" t="str">
        <f>'Part IX Scoring Criteria'!I287</f>
        <v>City of Byron</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Please see Tab 38 for evidence of the Byron GICH support letter executed by the primary contact on record as well as the local government agreement letter executed by the Mayor.</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3520</v>
      </c>
      <c r="B2013" s="2153" t="s">
        <v>3494</v>
      </c>
      <c r="D2013" s="2112"/>
      <c r="E2013" s="2112"/>
      <c r="F2013" s="435"/>
      <c r="G2013" s="435"/>
      <c r="H2013" s="435"/>
      <c r="M2013" s="2192">
        <v>4</v>
      </c>
      <c r="N2013" s="2108"/>
      <c r="O2013" s="2192">
        <f>'Part IX Scoring Criteria'!O294</f>
        <v>1</v>
      </c>
      <c r="P2013" s="2192">
        <f>'Part IX Scoring Criteria'!P294</f>
        <v>0</v>
      </c>
      <c r="Q2013" s="2108" t="s">
        <v>422</v>
      </c>
    </row>
    <row r="2014" spans="1:19" s="2274" customFormat="1" ht="10.5" customHeight="1">
      <c r="A2014" s="1818"/>
      <c r="B2014" s="2121" t="s">
        <v>7145</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3410</v>
      </c>
      <c r="L2016" s="2223"/>
      <c r="M2016" s="2223"/>
      <c r="N2016" s="2255" t="s">
        <v>2325</v>
      </c>
      <c r="O2016" s="2230" t="str">
        <f>'Part IX Scoring Criteria'!O297</f>
        <v>Yes</v>
      </c>
      <c r="P2016" s="2164"/>
      <c r="R2016" s="2223"/>
      <c r="S2016" s="2223"/>
    </row>
    <row r="2017" spans="1:20" s="2112" customFormat="1" ht="12.75" customHeight="1">
      <c r="B2017" s="2255" t="s">
        <v>2326</v>
      </c>
      <c r="C2017" s="435" t="s">
        <v>3409</v>
      </c>
      <c r="L2017" s="2223"/>
      <c r="M2017" s="2223"/>
      <c r="N2017" s="2255" t="s">
        <v>2326</v>
      </c>
      <c r="O2017" s="2230" t="str">
        <f>'Part IX Scoring Criteria'!O298</f>
        <v>Yes</v>
      </c>
      <c r="P2017" s="2164"/>
      <c r="R2017" s="2223"/>
      <c r="S2017" s="2223"/>
    </row>
    <row r="2018" spans="1:20" s="2112" customFormat="1" ht="33.75" customHeight="1">
      <c r="B2018" s="2224" t="s">
        <v>2327</v>
      </c>
      <c r="C2018" s="2223" t="s">
        <v>3996</v>
      </c>
      <c r="D2018" s="2223"/>
      <c r="E2018" s="2223"/>
      <c r="F2018" s="2223"/>
      <c r="G2018" s="2223"/>
      <c r="H2018" s="2223"/>
      <c r="I2018" s="2223"/>
      <c r="J2018" s="2223"/>
      <c r="K2018" s="2223"/>
      <c r="L2018" s="2223"/>
      <c r="M2018" s="2223"/>
      <c r="N2018" s="2224" t="s">
        <v>2327</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3495</v>
      </c>
      <c r="L2020" s="2366" t="str">
        <f>IF(O2020&lt;=M2020,"","* * Check Score! * *")</f>
        <v/>
      </c>
      <c r="M2020" s="2117">
        <v>3</v>
      </c>
      <c r="N2020" s="2255" t="s">
        <v>1893</v>
      </c>
      <c r="O2020" s="2371">
        <f>'Part IX Scoring Criteria'!O301</f>
        <v>1</v>
      </c>
      <c r="P2020" s="2192"/>
      <c r="Q2020" s="2397" t="str">
        <f>IF(O2020&lt;=M2020,"","*CHECK!*")</f>
        <v/>
      </c>
      <c r="R2020" s="1856" t="s">
        <v>4265</v>
      </c>
      <c r="S2020" s="1856"/>
      <c r="T2020" s="1907"/>
    </row>
    <row r="2021" spans="1:20" s="1852" customFormat="1" ht="12.75" customHeight="1">
      <c r="A2021" s="2417"/>
      <c r="B2021" s="2439" t="s">
        <v>1896</v>
      </c>
      <c r="C2021" s="2223" t="s">
        <v>3999</v>
      </c>
      <c r="D2021" s="2223"/>
      <c r="E2021" s="2223"/>
      <c r="F2021" s="2223"/>
      <c r="G2021" s="2223"/>
      <c r="H2021" s="2223"/>
      <c r="I2021" s="2223"/>
      <c r="R2021" s="1856"/>
      <c r="S2021" s="1856"/>
      <c r="T2021" s="1907"/>
    </row>
    <row r="2022" spans="1:20" s="1852" customFormat="1" ht="12.75" customHeight="1">
      <c r="A2022" s="2417"/>
      <c r="B2022" s="2392"/>
      <c r="C2022" s="2223" t="s">
        <v>3998</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3277</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4156</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6504</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3276</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6848</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3278</v>
      </c>
      <c r="C2032" s="435" t="s">
        <v>4001</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6505</v>
      </c>
      <c r="C2033" s="435" t="s">
        <v>7146</v>
      </c>
      <c r="I2033" s="2255" t="s">
        <v>6505</v>
      </c>
      <c r="J2033" s="2182">
        <f>'Part IX Scoring Criteria'!J314</f>
        <v>480000</v>
      </c>
      <c r="K2033" s="2182"/>
      <c r="L2033" s="2255" t="s">
        <v>6505</v>
      </c>
      <c r="M2033" s="2174"/>
      <c r="N2033" s="2174"/>
      <c r="O2033" s="2174"/>
      <c r="P2033" s="2174"/>
      <c r="R2033" s="2366"/>
    </row>
    <row r="2034" spans="1:22" s="1852" customFormat="1" ht="12.75" customHeight="1">
      <c r="B2034" s="2067" t="s">
        <v>7057</v>
      </c>
      <c r="H2034" s="2121" t="s">
        <v>2501</v>
      </c>
      <c r="J2034" s="2174">
        <f>SUM(J2023:K2033)</f>
        <v>480000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6507</v>
      </c>
      <c r="H2036" s="1852"/>
      <c r="I2036" s="1852"/>
      <c r="J2036" s="2174">
        <f>'Part VI-Revenues &amp; Expenses'!$P$67</f>
        <v>48</v>
      </c>
      <c r="K2036" s="2174"/>
      <c r="L2036" s="1864"/>
      <c r="M2036" s="1856"/>
      <c r="N2036" s="1856"/>
      <c r="O2036" s="2441"/>
      <c r="P2036" s="1856"/>
    </row>
    <row r="2037" spans="1:22" s="1852" customFormat="1" ht="13.5" customHeight="1">
      <c r="C2037" s="1864"/>
      <c r="D2037" s="1864"/>
      <c r="E2037" s="1864"/>
      <c r="F2037" s="2290" t="s">
        <v>6508</v>
      </c>
      <c r="J2037" s="2442">
        <f>J2034/J2036</f>
        <v>10000</v>
      </c>
      <c r="K2037" s="2442"/>
      <c r="M2037" s="2442">
        <f>IF($J2036=0,0,$M2034/$J2036)</f>
        <v>0</v>
      </c>
      <c r="N2037" s="2442"/>
      <c r="O2037" s="2442"/>
      <c r="P2037" s="2442"/>
    </row>
    <row r="2038" spans="1:22" s="2274" customFormat="1" ht="12.75" customHeight="1">
      <c r="C2038" s="1864"/>
      <c r="D2038" s="1864"/>
      <c r="E2038" s="1864"/>
      <c r="F2038" s="2112" t="s">
        <v>6509</v>
      </c>
      <c r="I2038" s="1852"/>
      <c r="J2038" s="2149">
        <f>IF(L2015="", IF($J2037&gt;=30000, 3,IF($J2037&gt;=20000, 2,IF($J2037&gt;=10000,1,0))),0)</f>
        <v>1</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3279</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4265</v>
      </c>
      <c r="V2040" s="2436"/>
    </row>
    <row r="2041" spans="1:22" s="2274" customFormat="1" ht="22.5" customHeight="1">
      <c r="A2041" s="2141"/>
      <c r="B2041" s="2392" t="s">
        <v>1896</v>
      </c>
      <c r="C2041" s="2223" t="s">
        <v>3496</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3404</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4003</v>
      </c>
      <c r="N2043" s="2384" t="s">
        <v>2416</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Please see Tab 39 for the commitment letter for the construction- perm loan of $480,000 with a minimum term of 10 years and interest rate at or below long term monthly AFR effective May 1, 2021. The loan amount is for $10,000 per unit and is eligible for one favorable financing point. United Bank is a certified Community Development Financial Institution, and the proposed loan is offered as a result of the Bank's 2020 Capital Magnet Fund award from the CDFI Fund division of the United States Treasury Department.</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3523</v>
      </c>
      <c r="B2049" s="2153" t="s">
        <v>2566</v>
      </c>
      <c r="D2049" s="2121"/>
      <c r="G2049" s="2170" t="s">
        <v>7131</v>
      </c>
      <c r="I2049" s="2044" t="s">
        <v>6542</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4157</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4265</v>
      </c>
    </row>
    <row r="2054" spans="1:19" s="2391" customFormat="1" ht="12" customHeight="1">
      <c r="A2054" s="2309"/>
      <c r="B2054" s="435" t="s">
        <v>7147</v>
      </c>
      <c r="C2054" s="435"/>
      <c r="D2054" s="435"/>
      <c r="E2054" s="435"/>
      <c r="F2054" s="435"/>
      <c r="G2054" s="435"/>
      <c r="H2054" s="435"/>
      <c r="I2054" s="435"/>
      <c r="J2054" s="435"/>
      <c r="K2054" s="435"/>
      <c r="L2054" s="435"/>
      <c r="M2054" s="1905" t="s">
        <v>7148</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48</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7149</v>
      </c>
      <c r="B2060" s="2223" t="s">
        <v>4158</v>
      </c>
      <c r="C2060" s="2223"/>
      <c r="H2060" s="2223"/>
      <c r="M2060" s="2309">
        <v>2</v>
      </c>
      <c r="N2060" s="2224" t="s">
        <v>1895</v>
      </c>
      <c r="O2060" s="2371">
        <f>'Part IX Scoring Criteria'!O341</f>
        <v>0</v>
      </c>
      <c r="P2060" s="2371"/>
      <c r="Q2060" s="2397" t="str">
        <f>IF(OR($O2060=$M2060,$O2060=0,$O2060=""),"","*CHECK!*")</f>
        <v/>
      </c>
      <c r="R2060" s="1858" t="s">
        <v>4265</v>
      </c>
    </row>
    <row r="2061" spans="1:19" s="2391" customFormat="1" ht="11.25" customHeight="1">
      <c r="A2061" s="2445"/>
      <c r="B2061" s="2223" t="s">
        <v>7058</v>
      </c>
      <c r="C2061" s="2223"/>
      <c r="D2061" s="2223"/>
      <c r="E2061" s="2223"/>
      <c r="F2061" s="2223"/>
      <c r="G2061" s="2223"/>
      <c r="H2061" s="2223"/>
      <c r="I2061" s="2223"/>
      <c r="J2061" s="2223"/>
      <c r="K2061" s="2223"/>
      <c r="L2061" s="2223"/>
      <c r="M2061" s="1967" t="s">
        <v>4004</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48</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3524</v>
      </c>
      <c r="B2069" s="2153" t="s">
        <v>4240</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3527</v>
      </c>
      <c r="B2077" s="2153" t="s">
        <v>6512</v>
      </c>
      <c r="C2077" s="2228"/>
      <c r="D2077" s="2228"/>
      <c r="E2077" s="2228"/>
      <c r="F2077" s="2228"/>
      <c r="G2077" s="2170" t="s">
        <v>7131</v>
      </c>
      <c r="H2077" s="2228"/>
      <c r="I2077" s="2121" t="s">
        <v>3987</v>
      </c>
      <c r="J2077" s="2121" t="str">
        <f>'Part I-Project Information'!$H$77</f>
        <v>Family</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6515</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3828</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6518</v>
      </c>
      <c r="D2080" s="2121" t="s">
        <v>6558</v>
      </c>
      <c r="E2080" s="2121"/>
      <c r="F2080" s="2121"/>
      <c r="G2080" s="2121"/>
      <c r="H2080" s="2121"/>
      <c r="K2080" s="2121"/>
      <c r="L2080" s="2121"/>
      <c r="N2080" s="2108"/>
      <c r="O2080" s="435" t="s">
        <v>4263</v>
      </c>
      <c r="P2080" s="435"/>
      <c r="Q2080" s="2108"/>
    </row>
    <row r="2081" spans="1:23" s="2274" customFormat="1" ht="10.5" customHeight="1">
      <c r="A2081" s="2373"/>
      <c r="B2081" s="2270" t="s">
        <v>2324</v>
      </c>
      <c r="C2081" s="2112" t="s">
        <v>6513</v>
      </c>
      <c r="N2081" s="2270" t="s">
        <v>2324</v>
      </c>
      <c r="O2081" s="2446">
        <f>'Part IX Scoring Criteria'!O362</f>
        <v>0</v>
      </c>
      <c r="P2081" s="2372"/>
    </row>
    <row r="2082" spans="1:23" s="2391" customFormat="1" ht="21.75" customHeight="1">
      <c r="A2082" s="2257"/>
      <c r="B2082" s="2224" t="s">
        <v>2325</v>
      </c>
      <c r="C2082" s="2223" t="s">
        <v>6514</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6516</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6517</v>
      </c>
      <c r="N2084" s="2255" t="s">
        <v>2327</v>
      </c>
      <c r="O2084" s="2136">
        <f>'Part IX Scoring Criteria'!O365</f>
        <v>0</v>
      </c>
      <c r="P2084" s="2044"/>
    </row>
    <row r="2085" spans="1:23" s="2284" customFormat="1" ht="11.25" customHeight="1">
      <c r="A2085" s="2306"/>
      <c r="B2085" s="2121" t="s">
        <v>6519</v>
      </c>
      <c r="D2085" s="2121"/>
      <c r="E2085" s="2121"/>
      <c r="F2085" s="2121"/>
      <c r="G2085" s="2121"/>
      <c r="H2085" s="2121" t="s">
        <v>6558</v>
      </c>
      <c r="K2085" s="2121"/>
      <c r="L2085" s="2121"/>
      <c r="M2085" s="2108"/>
      <c r="N2085" s="2108"/>
      <c r="O2085" s="2112" t="s">
        <v>4263</v>
      </c>
      <c r="P2085" s="2112"/>
      <c r="Q2085" s="2108"/>
    </row>
    <row r="2086" spans="1:23" s="2274" customFormat="1" ht="12.75" customHeight="1">
      <c r="A2086" s="2373"/>
      <c r="B2086" s="2270" t="s">
        <v>2324</v>
      </c>
      <c r="C2086" s="2298" t="s">
        <v>6520</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6521</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6522</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6558</v>
      </c>
      <c r="C2090" s="2255"/>
      <c r="D2090" s="2255"/>
      <c r="E2090" s="2255"/>
      <c r="F2090" s="2255"/>
      <c r="J2090" s="2223"/>
      <c r="K2090" s="2223"/>
      <c r="L2090" s="2223"/>
      <c r="N2090" s="2051"/>
      <c r="O2090" s="2112" t="s">
        <v>4263</v>
      </c>
      <c r="P2090" s="2112"/>
      <c r="Q2090" s="1912"/>
      <c r="R2090" s="2274"/>
      <c r="S2090" s="2274"/>
      <c r="T2090" s="2274"/>
      <c r="U2090" s="2274"/>
    </row>
    <row r="2091" spans="1:23" s="2391" customFormat="1" ht="11.25" customHeight="1">
      <c r="A2091" s="2448"/>
      <c r="B2091" s="2392" t="s">
        <v>1896</v>
      </c>
      <c r="C2091" s="2449" t="s">
        <v>6559</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6560</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N/A</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3528</v>
      </c>
      <c r="B2098" s="2153" t="s">
        <v>6524</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3529</v>
      </c>
      <c r="B2102" s="2153" t="s">
        <v>6525</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3530</v>
      </c>
      <c r="B2106" s="2153" t="s">
        <v>6526</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3531</v>
      </c>
      <c r="B2110" s="2153" t="s">
        <v>6527</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3532</v>
      </c>
      <c r="B2114" s="2153" t="s">
        <v>6849</v>
      </c>
      <c r="C2114" s="2112"/>
      <c r="D2114" s="2112"/>
      <c r="E2114" s="435"/>
      <c r="G2114" s="2112"/>
      <c r="I2114" s="1967" t="s">
        <v>6530</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64.5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7059</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IV. Deeper Targeting / Rent / Income Restrictions:  The applicant has selected the Income Averaging Set-aside and the overall property AMI for each affordable unit for the proposed development will be 57.50% and is eligible for two (2) Deeper Targeting points.
XI. Mixed Income Development: The applicant has selected the Income Averaging Set-aside and will not offer any Market Rate units.
XV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XX -  Compliance / Performance: A pre-application was submitted at pre-application date and there have been no changes. All required documents regarding Certifying Entity related to capacity and performance have been included in the application.</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4168</v>
      </c>
      <c r="B2128" s="2453"/>
      <c r="C2128" s="2453"/>
      <c r="D2128" s="2453"/>
      <c r="E2128" s="2453"/>
      <c r="F2128" s="2453"/>
      <c r="G2128" s="2453"/>
      <c r="H2128" s="2453"/>
    </row>
    <row r="2129" spans="1:11" s="2454" customFormat="1" ht="18.75">
      <c r="A2129" s="2453" t="s">
        <v>4169</v>
      </c>
      <c r="B2129" s="2453"/>
      <c r="C2129" s="2453"/>
      <c r="D2129" s="2453"/>
      <c r="E2129" s="2453"/>
      <c r="F2129" s="2453"/>
      <c r="G2129" s="2453"/>
      <c r="H2129" s="2453"/>
    </row>
    <row r="2130" spans="1:11" s="2454" customFormat="1" ht="15" customHeight="1">
      <c r="A2130" s="2455" t="s">
        <v>4170</v>
      </c>
      <c r="B2130" s="2456"/>
      <c r="C2130" s="2456"/>
      <c r="D2130" s="2457">
        <f>'Part I-Project Information'!F2114</f>
        <v>0</v>
      </c>
      <c r="E2130" s="2457"/>
      <c r="F2130" s="2457"/>
      <c r="G2130" s="2457"/>
      <c r="H2130" s="2457"/>
      <c r="I2130" s="2457"/>
      <c r="J2130" s="2458" t="s">
        <v>6421</v>
      </c>
      <c r="K2130" s="2458"/>
    </row>
    <row r="2131" spans="1:11" s="2454" customFormat="1" ht="15" customHeight="1">
      <c r="A2131" s="2455" t="s">
        <v>4171</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4212</v>
      </c>
      <c r="K2131" s="2458"/>
    </row>
    <row r="2132" spans="1:11" s="2454" customFormat="1" ht="15" customHeight="1">
      <c r="A2132" s="2455" t="s">
        <v>4172</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4174</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4175</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4176</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4177</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4178</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4179</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4180</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4181</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4182</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4183</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4184</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4185</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4186</v>
      </c>
      <c r="C2151" s="2466"/>
      <c r="D2151" s="2466"/>
      <c r="E2151" s="2466"/>
      <c r="F2151" s="2466"/>
      <c r="G2151" s="2466"/>
      <c r="H2151" s="2466"/>
      <c r="I2151" s="2466"/>
      <c r="J2151" s="2466"/>
      <c r="K2151" s="2467"/>
    </row>
    <row r="2152" spans="1:13" s="2454" customFormat="1" ht="14.25" customHeight="1">
      <c r="A2152" s="2469" t="s">
        <v>7150</v>
      </c>
      <c r="C2152" s="2466"/>
      <c r="D2152" s="2466"/>
      <c r="E2152" s="2466"/>
      <c r="F2152" s="2466"/>
      <c r="G2152" s="2466"/>
      <c r="H2152" s="2466"/>
      <c r="I2152" s="2466"/>
      <c r="J2152" s="2466"/>
      <c r="K2152" s="2467"/>
    </row>
    <row r="2153" spans="1:13" s="2454" customFormat="1" ht="14.25" customHeight="1">
      <c r="A2153" s="2469" t="s">
        <v>7151</v>
      </c>
      <c r="C2153" s="2466"/>
      <c r="D2153" s="2466"/>
      <c r="E2153" s="2466"/>
      <c r="F2153" s="2466"/>
      <c r="G2153" s="2466"/>
      <c r="H2153" s="2466"/>
      <c r="I2153" s="2466"/>
      <c r="J2153" s="2466"/>
      <c r="K2153" s="2467"/>
    </row>
    <row r="2154" spans="1:13" s="2454" customFormat="1" ht="14.25" customHeight="1">
      <c r="A2154" s="2469" t="s">
        <v>7152</v>
      </c>
      <c r="C2154" s="2466"/>
      <c r="D2154" s="2466"/>
      <c r="E2154" s="2466"/>
      <c r="F2154" s="2466"/>
      <c r="G2154" s="2466"/>
      <c r="H2154" s="2466"/>
      <c r="I2154" s="2466"/>
      <c r="J2154" s="2466"/>
      <c r="K2154" s="2467"/>
    </row>
    <row r="2155" spans="1:13" s="2454" customFormat="1" ht="14.25" customHeight="1">
      <c r="A2155" s="2469" t="s">
        <v>7153</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4216</v>
      </c>
      <c r="B2157" s="2458"/>
      <c r="C2157" s="2458"/>
      <c r="D2157" s="2458"/>
      <c r="E2157" s="2458"/>
      <c r="F2157" s="2458"/>
      <c r="G2157" s="2458"/>
      <c r="H2157" s="2458"/>
      <c r="I2157" s="2458"/>
      <c r="J2157" s="2458"/>
      <c r="K2157" s="2458"/>
    </row>
    <row r="2158" spans="1:13" s="2454" customFormat="1" ht="16.5">
      <c r="B2158" s="2458" t="s">
        <v>6421</v>
      </c>
      <c r="C2158" s="2458"/>
      <c r="D2158" s="2458"/>
      <c r="E2158" s="2458"/>
      <c r="F2158" s="2458"/>
      <c r="G2158" s="2458" t="s">
        <v>4187</v>
      </c>
      <c r="H2158" s="2458"/>
      <c r="I2158" s="2458"/>
      <c r="J2158" s="2458"/>
      <c r="K2158" s="2458"/>
    </row>
    <row r="2159" spans="1:13" s="2454" customFormat="1" ht="56.25" customHeight="1">
      <c r="B2159" s="2465" t="s">
        <v>7154</v>
      </c>
      <c r="C2159" s="2465" t="s">
        <v>7155</v>
      </c>
      <c r="D2159" s="2465" t="s">
        <v>7156</v>
      </c>
      <c r="E2159" s="2470" t="s">
        <v>6313</v>
      </c>
      <c r="F2159" s="2470"/>
      <c r="G2159" s="2465" t="s">
        <v>4188</v>
      </c>
      <c r="H2159" s="2465" t="s">
        <v>4189</v>
      </c>
      <c r="J2159" s="2465" t="s">
        <v>4190</v>
      </c>
      <c r="K2159" s="2465" t="s">
        <v>4191</v>
      </c>
      <c r="L2159" s="2471" t="s">
        <v>4192</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5">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6">ROUNDUP(G2161,0)</f>
        <v>#VALUE!</v>
      </c>
      <c r="I2161" s="2477"/>
      <c r="J2161" s="2478" t="e">
        <f>'Part X - HOME NHTF Unit Calcs'!J34</f>
        <v>#VALUE!</v>
      </c>
      <c r="K2161" s="2478" t="e">
        <f t="shared" si="385"/>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6"/>
        <v>#VALUE!</v>
      </c>
      <c r="I2162" s="2477"/>
      <c r="J2162" s="2478" t="e">
        <f>'Part X - HOME NHTF Unit Calcs'!J35</f>
        <v>#VALUE!</v>
      </c>
      <c r="K2162" s="2478" t="e">
        <f t="shared" si="385"/>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6"/>
        <v>#VALUE!</v>
      </c>
      <c r="I2163" s="2477"/>
      <c r="J2163" s="2478" t="e">
        <f>'Part X - HOME NHTF Unit Calcs'!J36</f>
        <v>#VALUE!</v>
      </c>
      <c r="K2163" s="2478" t="e">
        <f t="shared" si="385"/>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6"/>
        <v>#VALUE!</v>
      </c>
      <c r="I2164" s="2477"/>
      <c r="J2164" s="2478" t="e">
        <f>'Part X - HOME NHTF Unit Calcs'!J37</f>
        <v>#VALUE!</v>
      </c>
      <c r="K2164" s="2478" t="e">
        <f t="shared" si="385"/>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6"/>
        <v>#VALUE!</v>
      </c>
      <c r="I2165" s="2477"/>
      <c r="J2165" s="2478" t="e">
        <f>'Part X - HOME NHTF Unit Calcs'!J38</f>
        <v>#VALUE!</v>
      </c>
      <c r="K2165" s="2478" t="e">
        <f t="shared" si="385"/>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6"/>
        <v>#VALUE!</v>
      </c>
      <c r="I2166" s="2477"/>
      <c r="J2166" s="2478" t="e">
        <f>'Part X - HOME NHTF Unit Calcs'!J39</f>
        <v>#VALUE!</v>
      </c>
      <c r="K2166" s="2478" t="e">
        <f t="shared" si="385"/>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6"/>
        <v>#VALUE!</v>
      </c>
      <c r="I2167" s="2477"/>
      <c r="J2167" s="2478" t="e">
        <f>'Part X - HOME NHTF Unit Calcs'!J40</f>
        <v>#VALUE!</v>
      </c>
      <c r="K2167" s="2478" t="e">
        <f t="shared" si="385"/>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6"/>
        <v>#VALUE!</v>
      </c>
      <c r="I2168" s="2477"/>
      <c r="J2168" s="2478" t="e">
        <f>'Part X - HOME NHTF Unit Calcs'!J41</f>
        <v>#VALUE!</v>
      </c>
      <c r="K2168" s="2478" t="e">
        <f t="shared" si="385"/>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6"/>
        <v>#VALUE!</v>
      </c>
      <c r="I2169" s="2477"/>
      <c r="J2169" s="2478" t="e">
        <f>'Part X - HOME NHTF Unit Calcs'!J42</f>
        <v>#VALUE!</v>
      </c>
      <c r="K2169" s="2478" t="e">
        <f t="shared" si="385"/>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6"/>
        <v>#VALUE!</v>
      </c>
      <c r="I2170" s="2477"/>
      <c r="J2170" s="2478" t="e">
        <f>'Part X - HOME NHTF Unit Calcs'!J43</f>
        <v>#VALUE!</v>
      </c>
      <c r="K2170" s="2478" t="e">
        <f t="shared" si="385"/>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6"/>
        <v>#VALUE!</v>
      </c>
      <c r="I2171" s="2477"/>
      <c r="J2171" s="2478" t="e">
        <f>'Part X - HOME NHTF Unit Calcs'!J44</f>
        <v>#VALUE!</v>
      </c>
      <c r="K2171" s="2478" t="e">
        <f t="shared" si="385"/>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6"/>
        <v>#VALUE!</v>
      </c>
      <c r="I2172" s="2477"/>
      <c r="J2172" s="2478" t="e">
        <f>'Part X - HOME NHTF Unit Calcs'!J45</f>
        <v>#VALUE!</v>
      </c>
      <c r="K2172" s="2478" t="e">
        <f t="shared" si="385"/>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6"/>
        <v>#VALUE!</v>
      </c>
      <c r="I2173" s="2477"/>
      <c r="J2173" s="2478" t="e">
        <f>'Part X - HOME NHTF Unit Calcs'!J46</f>
        <v>#VALUE!</v>
      </c>
      <c r="K2173" s="2478" t="e">
        <f t="shared" si="385"/>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6"/>
        <v>#VALUE!</v>
      </c>
      <c r="I2174" s="2477"/>
      <c r="J2174" s="2478" t="e">
        <f>'Part X - HOME NHTF Unit Calcs'!J47</f>
        <v>#VALUE!</v>
      </c>
      <c r="K2174" s="2478" t="e">
        <f t="shared" si="385"/>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6"/>
        <v>#VALUE!</v>
      </c>
      <c r="I2175" s="2477"/>
      <c r="J2175" s="2478" t="e">
        <f>'Part X - HOME NHTF Unit Calcs'!J48</f>
        <v>#VALUE!</v>
      </c>
      <c r="K2175" s="2478" t="e">
        <f t="shared" si="385"/>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6"/>
        <v>#VALUE!</v>
      </c>
      <c r="I2176" s="2477"/>
      <c r="J2176" s="2478" t="e">
        <f>'Part X - HOME NHTF Unit Calcs'!J49</f>
        <v>#VALUE!</v>
      </c>
      <c r="K2176" s="2478" t="e">
        <f t="shared" si="385"/>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6"/>
        <v>#VALUE!</v>
      </c>
      <c r="I2177" s="2477"/>
      <c r="J2177" s="2478" t="e">
        <f>'Part X - HOME NHTF Unit Calcs'!J50</f>
        <v>#VALUE!</v>
      </c>
      <c r="K2177" s="2478" t="e">
        <f t="shared" si="385"/>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6"/>
        <v>#VALUE!</v>
      </c>
      <c r="I2178" s="2477"/>
      <c r="J2178" s="2478" t="e">
        <f>'Part X - HOME NHTF Unit Calcs'!J51</f>
        <v>#VALUE!</v>
      </c>
      <c r="K2178" s="2478" t="e">
        <f t="shared" si="385"/>
        <v>#VALUE!</v>
      </c>
      <c r="L2178" s="2471"/>
      <c r="M2178" s="2471"/>
    </row>
    <row r="2179" spans="1:13" s="2454" customFormat="1" ht="15" customHeight="1">
      <c r="B2179" s="2480"/>
      <c r="D2179" s="2456"/>
      <c r="E2179" s="2456"/>
      <c r="F2179" s="2456"/>
      <c r="G2179" s="2481" t="s">
        <v>4193</v>
      </c>
      <c r="H2179" s="2482" t="e">
        <f>SUM(H2160:H2178)</f>
        <v>#VALUE!</v>
      </c>
      <c r="I2179" s="2456"/>
      <c r="J2179" s="2480" t="s">
        <v>4194</v>
      </c>
      <c r="K2179" s="2462" t="e">
        <f>SUM(K2160:K2178)</f>
        <v>#VALUE!</v>
      </c>
      <c r="L2179" s="2471"/>
      <c r="M2179" s="2471"/>
    </row>
    <row r="2180" spans="1:13" s="2454" customFormat="1" ht="15" customHeight="1">
      <c r="B2180" s="2480"/>
      <c r="C2180" s="2456" t="s">
        <v>4195</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4196</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4197</v>
      </c>
    </row>
    <row r="2184" spans="1:13" s="2454" customFormat="1" ht="48" customHeight="1">
      <c r="C2184" s="2465" t="s">
        <v>4198</v>
      </c>
      <c r="D2184" s="2465" t="s">
        <v>6273</v>
      </c>
      <c r="E2184" s="2454" t="s">
        <v>4214</v>
      </c>
      <c r="G2184" s="2470" t="s">
        <v>4199</v>
      </c>
      <c r="H2184" s="2470"/>
      <c r="I2184" s="2454" t="s">
        <v>4213</v>
      </c>
    </row>
    <row r="2185" spans="1:13" s="2454" customFormat="1" ht="15" customHeight="1">
      <c r="A2185" s="2465"/>
      <c r="C2185" s="2483" t="e">
        <f>SUMIF(C2160:C2178, "0", H2160:H2178)</f>
        <v>#VALUE!</v>
      </c>
      <c r="D2185" s="2465" t="e">
        <f t="shared" ref="D2185:D2190" si="387">ROUNDUP(C2185*1.1,0)</f>
        <v>#VALUE!</v>
      </c>
      <c r="E2185" s="2456" t="s">
        <v>4200</v>
      </c>
      <c r="F2185" s="2456"/>
      <c r="G2185" s="2484">
        <v>153314.4</v>
      </c>
      <c r="H2185" s="2484"/>
      <c r="I2185" s="2485" t="e">
        <f t="shared" ref="I2185:I2190" si="388">D2185*G2185</f>
        <v>#VALUE!</v>
      </c>
      <c r="J2185" s="2485"/>
    </row>
    <row r="2186" spans="1:13" s="2454" customFormat="1" ht="16.5">
      <c r="A2186" s="2465"/>
      <c r="C2186" s="2483">
        <f>SUMIF(C2160:C2178, "1", H2160:H2178)</f>
        <v>0</v>
      </c>
      <c r="D2186" s="2465">
        <f t="shared" si="387"/>
        <v>0</v>
      </c>
      <c r="E2186" s="2456" t="s">
        <v>2559</v>
      </c>
      <c r="F2186" s="2456"/>
      <c r="G2186" s="2484">
        <v>175752</v>
      </c>
      <c r="H2186" s="2484"/>
      <c r="I2186" s="2485">
        <f t="shared" si="388"/>
        <v>0</v>
      </c>
      <c r="J2186" s="2485"/>
    </row>
    <row r="2187" spans="1:13" s="2454" customFormat="1" ht="15" customHeight="1">
      <c r="A2187" s="2465"/>
      <c r="C2187" s="2483">
        <f>SUMIF(C2160:C2178, "2", H2160:H2178)</f>
        <v>0</v>
      </c>
      <c r="D2187" s="2465">
        <f t="shared" si="387"/>
        <v>0</v>
      </c>
      <c r="E2187" s="2456" t="s">
        <v>2560</v>
      </c>
      <c r="F2187" s="2456"/>
      <c r="G2187" s="2484">
        <v>213717.6</v>
      </c>
      <c r="H2187" s="2484"/>
      <c r="I2187" s="2485">
        <f t="shared" si="388"/>
        <v>0</v>
      </c>
      <c r="J2187" s="2485"/>
    </row>
    <row r="2188" spans="1:13" s="2454" customFormat="1" ht="16.5">
      <c r="A2188" s="2465"/>
      <c r="C2188" s="2483">
        <f>SUMIF(C2160:C2178, "3", H2160:H2178)</f>
        <v>0</v>
      </c>
      <c r="D2188" s="2465">
        <f t="shared" si="387"/>
        <v>0</v>
      </c>
      <c r="E2188" s="2456" t="s">
        <v>2563</v>
      </c>
      <c r="F2188" s="2456"/>
      <c r="G2188" s="2484">
        <v>276482.40000000002</v>
      </c>
      <c r="H2188" s="2484"/>
      <c r="I2188" s="2485">
        <f t="shared" si="388"/>
        <v>0</v>
      </c>
      <c r="J2188" s="2485"/>
    </row>
    <row r="2189" spans="1:13" s="2454" customFormat="1" ht="16.5">
      <c r="A2189" s="2465"/>
      <c r="C2189" s="2483">
        <f>SUMIF(C2160:C2178, "4", H2160:H2178)</f>
        <v>0</v>
      </c>
      <c r="D2189" s="2465">
        <f t="shared" si="387"/>
        <v>0</v>
      </c>
      <c r="E2189" s="2456" t="s">
        <v>4201</v>
      </c>
      <c r="F2189" s="2456"/>
      <c r="G2189" s="2484">
        <v>303489.59999999998</v>
      </c>
      <c r="H2189" s="2484"/>
      <c r="I2189" s="2485">
        <f t="shared" si="388"/>
        <v>0</v>
      </c>
      <c r="J2189" s="2485"/>
    </row>
    <row r="2190" spans="1:13" s="2454" customFormat="1" ht="16.5">
      <c r="A2190" s="2465"/>
      <c r="C2190" s="2483">
        <f>SUMIF(C2160:C2178, "5", H2160:H2178)</f>
        <v>0</v>
      </c>
      <c r="D2190" s="2465">
        <f t="shared" si="387"/>
        <v>0</v>
      </c>
      <c r="E2190" s="2456" t="s">
        <v>4202</v>
      </c>
      <c r="F2190" s="2456"/>
      <c r="G2190" s="2484">
        <v>303489.59999999998</v>
      </c>
      <c r="H2190" s="2484"/>
      <c r="I2190" s="2485">
        <f t="shared" si="388"/>
        <v>0</v>
      </c>
      <c r="J2190" s="2485"/>
    </row>
    <row r="2191" spans="1:13" s="2454" customFormat="1" ht="16.5">
      <c r="A2191" s="2465" t="s">
        <v>4203</v>
      </c>
      <c r="B2191" s="2482" t="e">
        <f>SUM(C2185:C2190)</f>
        <v>#VALUE!</v>
      </c>
      <c r="C2191" s="2465"/>
      <c r="D2191" s="2465" t="e">
        <f>SUM(D2185:D2190)</f>
        <v>#VALUE!</v>
      </c>
      <c r="J2191" s="2481" t="s">
        <v>4204</v>
      </c>
      <c r="K2191" s="2486" t="e">
        <f>SUM(I2185:I2189)</f>
        <v>#VALUE!</v>
      </c>
    </row>
    <row r="2192" spans="1:13" s="2454" customFormat="1" ht="16.5"/>
    <row r="2193" spans="1:11" s="2454" customFormat="1" ht="16.5">
      <c r="A2193" s="2454" t="s">
        <v>4205</v>
      </c>
    </row>
    <row r="2194" spans="1:11" s="2454" customFormat="1" ht="15" customHeight="1">
      <c r="A2194" s="2465"/>
      <c r="E2194" s="2454" t="s">
        <v>4206</v>
      </c>
      <c r="K2194" s="2470">
        <f>J2138</f>
        <v>0</v>
      </c>
    </row>
    <row r="2195" spans="1:11" s="2454" customFormat="1" ht="16.5">
      <c r="A2195" s="2465"/>
      <c r="E2195" s="2454" t="s">
        <v>4207</v>
      </c>
      <c r="K2195" s="2470" t="e">
        <f>K2181</f>
        <v>#VALUE!</v>
      </c>
    </row>
    <row r="2196" spans="1:11" s="2454" customFormat="1" ht="16.5">
      <c r="A2196" s="2465"/>
      <c r="E2196" s="2454" t="s">
        <v>4208</v>
      </c>
      <c r="K2196" s="2470" t="e">
        <f>K2191</f>
        <v>#VALUE!</v>
      </c>
    </row>
    <row r="2197" spans="1:11" s="2454" customFormat="1" ht="16.5">
      <c r="A2197" s="2465"/>
      <c r="C2197" s="2456" t="s">
        <v>4209</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kV8VX3KkLGyv3ogRzpI+cWFIEOVcw6+pCnENNAoZ4VVD4jnJ/B3g/vEXNNd1Q2PbTZgqnSI+lby1efhoLFICaQ==" saltValue="A/5GdDvcqWE4qOfJEPxrf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40E158B-CCB2-4CD3-A19C-650D522211EA}">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8" t="s">
        <v>2582</v>
      </c>
      <c r="B5" s="4758"/>
      <c r="C5" s="4758"/>
      <c r="D5" s="4758"/>
      <c r="E5" s="4758"/>
      <c r="F5" s="4758"/>
      <c r="G5" s="4758"/>
      <c r="H5" s="4758"/>
      <c r="I5" s="4758"/>
      <c r="J5" s="4758"/>
      <c r="K5" s="4758"/>
      <c r="L5" s="4758"/>
      <c r="M5" s="4758"/>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5" t="s">
        <v>1817</v>
      </c>
      <c r="B9" s="4755"/>
      <c r="C9" s="4755"/>
      <c r="D9" s="4755"/>
      <c r="E9" s="4755"/>
      <c r="F9" s="4755"/>
      <c r="G9" s="4755"/>
      <c r="H9" s="4755"/>
      <c r="I9" s="4755"/>
      <c r="J9" s="4755"/>
      <c r="K9" s="4755"/>
      <c r="L9" s="4755"/>
      <c r="M9" s="4755"/>
    </row>
    <row r="10" spans="1:26" ht="6.75" customHeight="1">
      <c r="A10" s="4755"/>
      <c r="B10" s="4755"/>
      <c r="C10" s="4755"/>
      <c r="D10" s="4755"/>
      <c r="E10" s="4755"/>
      <c r="F10" s="4755"/>
      <c r="G10" s="4755"/>
      <c r="H10" s="4755"/>
      <c r="I10" s="4755"/>
      <c r="J10" s="4755"/>
      <c r="K10" s="4755"/>
      <c r="L10" s="4755"/>
      <c r="M10" s="4755"/>
    </row>
    <row r="11" spans="1:26" ht="44.25" customHeight="1">
      <c r="A11" s="4759" t="s">
        <v>6429</v>
      </c>
      <c r="B11" s="4759"/>
      <c r="C11" s="4759"/>
      <c r="D11" s="4759"/>
      <c r="E11" s="4759"/>
      <c r="F11" s="4759"/>
      <c r="G11" s="4759"/>
      <c r="H11" s="4759"/>
      <c r="I11" s="4759"/>
      <c r="J11" s="4759"/>
      <c r="K11" s="4759"/>
      <c r="L11" s="4759"/>
      <c r="M11" s="4759"/>
    </row>
    <row r="12" spans="1:26" ht="3" customHeight="1">
      <c r="A12" s="4755"/>
      <c r="B12" s="4755"/>
      <c r="C12" s="4755"/>
      <c r="D12" s="4755"/>
      <c r="E12" s="4755"/>
      <c r="F12" s="4755"/>
      <c r="G12" s="4755"/>
      <c r="H12" s="4755"/>
      <c r="I12" s="4755"/>
      <c r="J12" s="4755"/>
      <c r="K12" s="4755"/>
      <c r="L12" s="4755"/>
      <c r="M12" s="4755"/>
    </row>
    <row r="13" spans="1:26" ht="101.25" customHeight="1">
      <c r="A13" s="3127" t="s">
        <v>1658</v>
      </c>
      <c r="B13" s="4756" t="s">
        <v>3315</v>
      </c>
      <c r="C13" s="4756"/>
      <c r="D13" s="4756"/>
      <c r="E13" s="4756"/>
      <c r="F13" s="4756"/>
      <c r="G13" s="4756"/>
      <c r="H13" s="4756"/>
      <c r="I13" s="4756"/>
      <c r="J13" s="4756"/>
      <c r="K13" s="4756"/>
      <c r="L13" s="4756"/>
      <c r="M13" s="4756"/>
      <c r="U13" s="3121" t="s">
        <v>6575</v>
      </c>
    </row>
    <row r="14" spans="1:26" ht="47.25" customHeight="1">
      <c r="A14" s="3127" t="s">
        <v>1659</v>
      </c>
      <c r="B14" s="4756" t="s">
        <v>3316</v>
      </c>
      <c r="C14" s="4756"/>
      <c r="D14" s="4756"/>
      <c r="E14" s="4756"/>
      <c r="F14" s="4756"/>
      <c r="G14" s="4756"/>
      <c r="H14" s="4756"/>
      <c r="I14" s="4756"/>
      <c r="J14" s="4756"/>
      <c r="K14" s="4756"/>
      <c r="L14" s="4756"/>
      <c r="M14" s="4756"/>
    </row>
    <row r="15" spans="1:26" ht="117" customHeight="1">
      <c r="A15" s="3127" t="s">
        <v>1660</v>
      </c>
      <c r="B15" s="4756" t="s">
        <v>3317</v>
      </c>
      <c r="C15" s="4756"/>
      <c r="D15" s="4756"/>
      <c r="E15" s="4756"/>
      <c r="F15" s="4756"/>
      <c r="G15" s="4756"/>
      <c r="H15" s="4756"/>
      <c r="I15" s="4756"/>
      <c r="J15" s="4756"/>
      <c r="K15" s="4756"/>
      <c r="L15" s="4756"/>
      <c r="M15" s="4756"/>
    </row>
    <row r="16" spans="1:26" ht="147" customHeight="1">
      <c r="A16" s="3127" t="s">
        <v>2260</v>
      </c>
      <c r="B16" s="4756" t="s">
        <v>3190</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3189</v>
      </c>
      <c r="C18" s="4756"/>
      <c r="D18" s="4756"/>
      <c r="E18" s="4756"/>
      <c r="F18" s="4756"/>
      <c r="G18" s="4756"/>
      <c r="H18" s="4756"/>
      <c r="I18" s="4756"/>
      <c r="J18" s="4756"/>
      <c r="K18" s="4756"/>
      <c r="L18" s="4756"/>
      <c r="M18" s="4756"/>
    </row>
    <row r="19" spans="1:13" ht="48.75" customHeight="1">
      <c r="A19" s="3127" t="s">
        <v>92</v>
      </c>
      <c r="B19" s="4757" t="s">
        <v>3318</v>
      </c>
      <c r="C19" s="4757"/>
      <c r="D19" s="4757"/>
      <c r="E19" s="4757"/>
      <c r="F19" s="4757"/>
      <c r="G19" s="4757"/>
      <c r="H19" s="4757"/>
      <c r="I19" s="4757"/>
      <c r="J19" s="4757"/>
      <c r="K19" s="4757"/>
      <c r="L19" s="4757"/>
      <c r="M19" s="4757"/>
    </row>
    <row r="20" spans="1:13" ht="50.25" customHeight="1">
      <c r="A20" s="3127" t="s">
        <v>489</v>
      </c>
      <c r="B20" s="4756" t="s">
        <v>3191</v>
      </c>
      <c r="C20" s="4756"/>
      <c r="D20" s="4756"/>
      <c r="E20" s="4756"/>
      <c r="F20" s="4756"/>
      <c r="G20" s="4756"/>
      <c r="H20" s="4756"/>
      <c r="I20" s="4756"/>
      <c r="J20" s="4756"/>
      <c r="K20" s="4756"/>
      <c r="L20" s="4756"/>
      <c r="M20" s="4756"/>
    </row>
    <row r="21" spans="1:13" ht="31.5" customHeight="1">
      <c r="A21" s="3127" t="s">
        <v>490</v>
      </c>
      <c r="B21" s="4756" t="s">
        <v>3209</v>
      </c>
      <c r="C21" s="4756"/>
      <c r="D21" s="4756"/>
      <c r="E21" s="4756"/>
      <c r="F21" s="4756"/>
      <c r="G21" s="4756"/>
      <c r="H21" s="4756"/>
      <c r="I21" s="4756"/>
      <c r="J21" s="4756"/>
      <c r="K21" s="4756"/>
      <c r="L21" s="4756"/>
      <c r="M21" s="4756"/>
    </row>
    <row r="22" spans="1:13" ht="1.5" customHeight="1">
      <c r="A22" s="4755"/>
      <c r="B22" s="4755"/>
      <c r="C22" s="4755"/>
      <c r="D22" s="4755"/>
      <c r="E22" s="4755"/>
      <c r="F22" s="4755"/>
      <c r="G22" s="4755"/>
      <c r="H22" s="4755"/>
      <c r="I22" s="4755"/>
      <c r="J22" s="4755"/>
      <c r="K22" s="4755"/>
      <c r="L22" s="4755"/>
      <c r="M22" s="4755"/>
    </row>
    <row r="23" spans="1:13" ht="3" customHeight="1">
      <c r="A23" s="4755"/>
      <c r="B23" s="4755"/>
      <c r="C23" s="4755"/>
      <c r="D23" s="4755"/>
      <c r="E23" s="4755"/>
      <c r="F23" s="4755"/>
      <c r="G23" s="4755"/>
      <c r="H23" s="4755"/>
      <c r="I23" s="4755"/>
      <c r="J23" s="4755"/>
      <c r="K23" s="4755"/>
      <c r="L23" s="4755"/>
      <c r="M23" s="4755"/>
    </row>
    <row r="24" spans="1:13" ht="13.5" customHeight="1">
      <c r="A24" s="4755" t="s">
        <v>1408</v>
      </c>
      <c r="B24" s="4755"/>
      <c r="C24" s="4755"/>
      <c r="D24" s="4755"/>
      <c r="E24" s="4755"/>
      <c r="F24" s="4755"/>
      <c r="G24" s="4755"/>
      <c r="H24" s="4755"/>
      <c r="I24" s="4755"/>
      <c r="J24" s="4755"/>
      <c r="K24" s="4755"/>
      <c r="L24" s="4755"/>
      <c r="M24" s="4755"/>
    </row>
    <row r="25" spans="1:13" ht="32.25" customHeight="1">
      <c r="A25" s="3127" t="s">
        <v>1409</v>
      </c>
      <c r="B25" s="4756" t="s">
        <v>3210</v>
      </c>
      <c r="C25" s="4756"/>
      <c r="D25" s="4756"/>
      <c r="E25" s="4756"/>
      <c r="F25" s="4756"/>
      <c r="G25" s="4756"/>
      <c r="H25" s="4756"/>
      <c r="I25" s="4756"/>
      <c r="J25" s="4756"/>
      <c r="K25" s="4756"/>
      <c r="L25" s="4756"/>
      <c r="M25" s="4756"/>
    </row>
    <row r="26" spans="1:13" ht="31.5" customHeight="1">
      <c r="A26" s="3127" t="s">
        <v>1409</v>
      </c>
      <c r="B26" s="4756" t="s">
        <v>3211</v>
      </c>
      <c r="C26" s="4756"/>
      <c r="D26" s="4756"/>
      <c r="E26" s="4756"/>
      <c r="F26" s="4756"/>
      <c r="G26" s="4756"/>
      <c r="H26" s="4756"/>
      <c r="I26" s="4756"/>
      <c r="J26" s="4756"/>
      <c r="K26" s="4756"/>
      <c r="L26" s="4756"/>
      <c r="M26" s="4756"/>
    </row>
    <row r="27" spans="1:13" ht="78.75" customHeight="1">
      <c r="A27" s="3127" t="s">
        <v>1409</v>
      </c>
      <c r="B27" s="4756" t="s">
        <v>2583</v>
      </c>
      <c r="C27" s="4756"/>
      <c r="D27" s="4756"/>
      <c r="E27" s="4756"/>
      <c r="F27" s="4756"/>
      <c r="G27" s="4756"/>
      <c r="H27" s="4756"/>
      <c r="I27" s="4756"/>
      <c r="J27" s="4756"/>
      <c r="K27" s="4756"/>
      <c r="L27" s="4756"/>
      <c r="M27" s="4756"/>
    </row>
    <row r="28" spans="1:13" ht="7.5" customHeight="1">
      <c r="A28" s="4755"/>
      <c r="B28" s="4755"/>
      <c r="C28" s="4755"/>
      <c r="D28" s="4755"/>
      <c r="E28" s="4755"/>
      <c r="F28" s="4755"/>
      <c r="G28" s="4755"/>
      <c r="H28" s="4755"/>
      <c r="I28" s="4755"/>
      <c r="J28" s="4755"/>
      <c r="K28" s="4755"/>
      <c r="L28" s="4755"/>
      <c r="M28" s="4755"/>
    </row>
    <row r="29" spans="1:13" ht="43.5" customHeight="1">
      <c r="A29" s="4756" t="s">
        <v>911</v>
      </c>
      <c r="B29" s="4756"/>
      <c r="C29" s="4756"/>
      <c r="D29" s="4756"/>
      <c r="E29" s="4756"/>
      <c r="F29" s="4756"/>
      <c r="G29" s="4756"/>
      <c r="H29" s="4756"/>
      <c r="I29" s="4756"/>
      <c r="J29" s="4756"/>
      <c r="K29" s="4756"/>
      <c r="L29" s="4756"/>
      <c r="M29" s="4756"/>
    </row>
    <row r="30" spans="1:13" ht="3" customHeight="1">
      <c r="A30" s="4755"/>
      <c r="B30" s="4755"/>
      <c r="C30" s="4755"/>
      <c r="D30" s="4755"/>
      <c r="E30" s="4755"/>
      <c r="F30" s="4755"/>
      <c r="G30" s="4755"/>
      <c r="H30" s="4755"/>
      <c r="I30" s="4755"/>
      <c r="J30" s="4755"/>
      <c r="K30" s="4755"/>
      <c r="L30" s="4755"/>
      <c r="M30" s="4755"/>
    </row>
    <row r="31" spans="1:13" ht="32.25" customHeight="1">
      <c r="A31" s="4756" t="s">
        <v>2584</v>
      </c>
      <c r="B31" s="4756"/>
      <c r="C31" s="4756"/>
      <c r="D31" s="4756"/>
      <c r="E31" s="4756"/>
      <c r="F31" s="4756"/>
      <c r="G31" s="4756"/>
      <c r="H31" s="4756"/>
      <c r="I31" s="4756"/>
      <c r="J31" s="4756"/>
      <c r="K31" s="4756"/>
      <c r="L31" s="4756"/>
      <c r="M31" s="4756"/>
    </row>
    <row r="32" spans="1:13" ht="4.5" customHeight="1">
      <c r="A32" s="4755"/>
      <c r="B32" s="4755"/>
      <c r="C32" s="4755"/>
      <c r="D32" s="4755"/>
      <c r="E32" s="4755"/>
      <c r="F32" s="4755"/>
      <c r="G32" s="4755"/>
      <c r="H32" s="4755"/>
      <c r="I32" s="4755"/>
      <c r="J32" s="4755"/>
      <c r="K32" s="4755"/>
      <c r="L32" s="4755"/>
      <c r="M32" s="4755"/>
    </row>
    <row r="33" spans="1:13" ht="16.5">
      <c r="A33" s="4755" t="s">
        <v>888</v>
      </c>
      <c r="B33" s="4755"/>
      <c r="C33" s="4755"/>
      <c r="D33" s="4755"/>
      <c r="E33" s="4755"/>
      <c r="F33" s="4755"/>
      <c r="G33" s="4755"/>
      <c r="H33" s="4755"/>
      <c r="I33" s="4755"/>
      <c r="J33" s="4755"/>
      <c r="K33" s="4755"/>
      <c r="L33" s="4755"/>
      <c r="M33" s="4755"/>
    </row>
    <row r="34" spans="1:13" ht="6" customHeight="1">
      <c r="A34" s="3128"/>
      <c r="B34" s="3128"/>
      <c r="C34" s="3128"/>
      <c r="D34" s="3128"/>
      <c r="E34" s="3128"/>
      <c r="F34" s="3128"/>
      <c r="G34" s="3128"/>
      <c r="H34" s="3128"/>
      <c r="I34" s="3128"/>
      <c r="J34" s="3128"/>
      <c r="K34" s="3128"/>
      <c r="L34" s="3128"/>
      <c r="M34" s="3128"/>
    </row>
    <row r="35" spans="1:13" ht="16.5">
      <c r="A35" s="4751"/>
      <c r="B35" s="4751"/>
      <c r="C35" s="4751"/>
      <c r="D35" s="4751"/>
      <c r="E35" s="4751"/>
      <c r="F35" s="4751"/>
      <c r="G35" s="3129"/>
      <c r="H35" s="4751"/>
      <c r="I35" s="4751"/>
      <c r="J35" s="4751"/>
      <c r="K35" s="4751"/>
      <c r="L35" s="4751"/>
      <c r="M35" s="4751"/>
    </row>
    <row r="36" spans="1:13" ht="12" customHeight="1">
      <c r="A36" s="4753" t="s">
        <v>889</v>
      </c>
      <c r="B36" s="4753"/>
      <c r="C36" s="4753"/>
      <c r="D36" s="4753"/>
      <c r="E36" s="4753"/>
      <c r="F36" s="4753"/>
      <c r="G36" s="3129"/>
      <c r="H36" s="4753" t="s">
        <v>1890</v>
      </c>
      <c r="I36" s="4753"/>
      <c r="J36" s="4753"/>
      <c r="K36" s="4753"/>
      <c r="L36" s="4753"/>
      <c r="M36" s="4753"/>
    </row>
    <row r="37" spans="1:13" ht="6" customHeight="1">
      <c r="A37" s="3129"/>
      <c r="B37" s="3129"/>
      <c r="C37" s="3129"/>
      <c r="D37" s="3129"/>
      <c r="E37" s="3129"/>
      <c r="F37" s="3129"/>
      <c r="G37" s="3129"/>
      <c r="H37" s="3129"/>
      <c r="I37" s="3129"/>
      <c r="J37" s="3129"/>
      <c r="K37" s="3129"/>
      <c r="L37" s="3129"/>
      <c r="M37" s="3129"/>
    </row>
    <row r="38" spans="1:13" ht="16.5">
      <c r="A38" s="4751"/>
      <c r="B38" s="4751"/>
      <c r="C38" s="4751"/>
      <c r="D38" s="4751"/>
      <c r="E38" s="4751"/>
      <c r="F38" s="4751"/>
      <c r="G38" s="3129"/>
      <c r="H38" s="4752"/>
      <c r="I38" s="4752"/>
      <c r="J38" s="4752"/>
      <c r="K38" s="4752"/>
      <c r="L38" s="4752"/>
      <c r="M38" s="4752"/>
    </row>
    <row r="39" spans="1:13" ht="12" customHeight="1">
      <c r="A39" s="4753" t="s">
        <v>890</v>
      </c>
      <c r="B39" s="4753"/>
      <c r="C39" s="4753"/>
      <c r="D39" s="4753"/>
      <c r="E39" s="4753"/>
      <c r="F39" s="4753"/>
      <c r="G39" s="3129"/>
      <c r="H39" s="4753" t="s">
        <v>891</v>
      </c>
      <c r="I39" s="4753"/>
      <c r="J39" s="4753"/>
      <c r="K39" s="4753"/>
      <c r="L39" s="4753"/>
      <c r="M39" s="4753"/>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4" t="s">
        <v>892</v>
      </c>
      <c r="I41" s="4754"/>
      <c r="J41" s="4754"/>
      <c r="K41" s="4754"/>
      <c r="L41" s="4754"/>
      <c r="M41" s="4754"/>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hx9vcrHfgwbUIYGHMcGYaATR4gmWM73FaPvEEsQGl/1RrsZ7oRR6nebVwpBVN9bOsZK/qrR/HWf2Yy3AhF9iwQ==" saltValue="9vIYpVlvuppX1uDN58i/y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6" zoomScale="106" zoomScaleNormal="106" workbookViewId="0">
      <selection activeCell="A166"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0" t="s">
        <v>691</v>
      </c>
      <c r="B2" s="4791"/>
      <c r="C2" s="4791"/>
      <c r="D2" s="4791"/>
      <c r="E2" s="4791"/>
      <c r="F2" s="4791"/>
      <c r="G2" s="4791"/>
      <c r="H2" s="4791"/>
      <c r="I2" s="4791"/>
      <c r="J2" s="4791"/>
      <c r="K2" s="4791"/>
      <c r="L2" s="4791"/>
      <c r="M2" s="4791"/>
      <c r="N2" s="4791"/>
      <c r="O2" s="4791"/>
      <c r="P2" s="4791"/>
      <c r="Q2" s="4791"/>
      <c r="R2" s="479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3263</v>
      </c>
      <c r="K12" s="277"/>
      <c r="M12" s="277"/>
      <c r="N12" s="277"/>
      <c r="O12" s="168"/>
      <c r="Q12" s="4786">
        <v>0.1</v>
      </c>
      <c r="R12" s="4787"/>
      <c r="S12" s="287"/>
      <c r="T12" s="166"/>
      <c r="U12" s="166"/>
      <c r="V12" s="863"/>
      <c r="W12" s="863"/>
      <c r="X12" s="863"/>
      <c r="AA12" s="481"/>
      <c r="AB12" s="481"/>
    </row>
    <row r="13" spans="1:28" s="267" customFormat="1" ht="12.75" customHeight="1">
      <c r="A13" s="168"/>
      <c r="B13" s="168"/>
      <c r="C13" s="168"/>
      <c r="F13" s="1368" t="s">
        <v>2561</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3" t="s">
        <v>3119</v>
      </c>
      <c r="G20" s="4794"/>
      <c r="H20" s="4794"/>
      <c r="I20" s="4794"/>
      <c r="J20" s="4795"/>
      <c r="K20" s="277"/>
      <c r="L20" s="516" t="s">
        <v>3263</v>
      </c>
      <c r="M20" s="277"/>
      <c r="N20" s="4793" t="s">
        <v>3119</v>
      </c>
      <c r="O20" s="4794"/>
      <c r="P20" s="4794"/>
      <c r="Q20" s="4794"/>
      <c r="R20" s="4795"/>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3460</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3461</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3461</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3461</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72">
        <v>1000</v>
      </c>
      <c r="R82" s="477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2">
        <v>500</v>
      </c>
      <c r="R83" s="4773"/>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2">
        <v>1500</v>
      </c>
      <c r="R84" s="4773"/>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2">
        <v>1500</v>
      </c>
      <c r="R85" s="4773"/>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2">
        <v>1500</v>
      </c>
      <c r="R86" s="4773"/>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2">
        <v>1500</v>
      </c>
      <c r="R87" s="4773"/>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2">
        <v>6500</v>
      </c>
      <c r="R88" s="4773"/>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2">
        <v>5500</v>
      </c>
      <c r="R89" s="4773"/>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2">
        <v>5500</v>
      </c>
      <c r="R90" s="4773"/>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2">
        <v>500</v>
      </c>
      <c r="R91" s="4773"/>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2">
        <v>1500</v>
      </c>
      <c r="R92" s="477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9">
        <v>0.08</v>
      </c>
      <c r="R93" s="4789"/>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89">
        <v>0.08</v>
      </c>
      <c r="R94" s="4789"/>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2"/>
      <c r="R95" s="4773"/>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2">
        <v>1500</v>
      </c>
      <c r="R96" s="477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2">
        <v>800</v>
      </c>
      <c r="R97" s="4773"/>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2">
        <v>1000</v>
      </c>
      <c r="R98" s="4773"/>
      <c r="S98" s="279"/>
      <c r="T98" s="279"/>
      <c r="U98" s="279"/>
      <c r="AA98" s="481"/>
      <c r="AB98" s="481"/>
    </row>
    <row r="99" spans="1:28" s="267" customFormat="1" ht="11.45" customHeight="1">
      <c r="A99" s="168"/>
      <c r="B99" s="168"/>
      <c r="C99" s="168"/>
      <c r="D99" s="166"/>
      <c r="E99" s="166"/>
      <c r="H99" s="170" t="s">
        <v>2536</v>
      </c>
      <c r="I99" s="289"/>
      <c r="J99" s="170" t="s">
        <v>1469</v>
      </c>
      <c r="K99" s="170" t="s">
        <v>3438</v>
      </c>
      <c r="L99" s="170"/>
      <c r="M99" s="170"/>
      <c r="N99" s="170"/>
      <c r="O99" s="170"/>
      <c r="P99" s="289"/>
      <c r="Q99" s="4772" t="s">
        <v>2972</v>
      </c>
      <c r="R99" s="4773"/>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2">
        <v>1500</v>
      </c>
      <c r="R100" s="4773"/>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78">
        <v>750</v>
      </c>
      <c r="R101" s="4779"/>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2">
        <v>3000</v>
      </c>
      <c r="R102" s="4773"/>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2">
        <v>75</v>
      </c>
      <c r="R103" s="4773"/>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75">
        <v>25000</v>
      </c>
      <c r="R105" s="4775"/>
    </row>
    <row r="106" spans="1:28" customFormat="1" ht="11.25" customHeight="1">
      <c r="B106" s="27"/>
      <c r="C106" s="27"/>
      <c r="F106" s="157"/>
      <c r="G106" s="27"/>
      <c r="H106" s="1381"/>
      <c r="I106" s="27"/>
      <c r="J106" s="1387">
        <v>51</v>
      </c>
      <c r="K106" s="1389">
        <v>70</v>
      </c>
      <c r="Q106" s="4774">
        <v>20000</v>
      </c>
      <c r="R106" s="4774"/>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75">
        <v>20500</v>
      </c>
      <c r="R108" s="4775"/>
    </row>
    <row r="109" spans="1:28" customFormat="1" ht="11.25" customHeight="1">
      <c r="B109" s="27"/>
      <c r="C109" s="27"/>
      <c r="F109" s="27"/>
      <c r="G109" s="27"/>
      <c r="H109" s="1382"/>
      <c r="I109" s="27"/>
      <c r="J109" s="1387">
        <v>101</v>
      </c>
      <c r="K109" s="1389">
        <v>130</v>
      </c>
      <c r="Q109" s="4774">
        <v>18500</v>
      </c>
      <c r="R109" s="4774"/>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77">
        <v>2000000</v>
      </c>
      <c r="R112" s="4777"/>
    </row>
    <row r="113" spans="1:28" customFormat="1" ht="11.25" customHeight="1">
      <c r="B113" s="27"/>
      <c r="C113" s="27"/>
      <c r="F113" s="27"/>
      <c r="G113" s="27"/>
      <c r="H113" s="1384">
        <v>0.04</v>
      </c>
      <c r="I113" s="1376"/>
      <c r="J113" s="27"/>
      <c r="Q113" s="4777">
        <v>3500000</v>
      </c>
      <c r="R113" s="4777"/>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4">
        <v>3500000</v>
      </c>
      <c r="R115" s="478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2">
        <v>0.15</v>
      </c>
      <c r="R116" s="4783"/>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82">
        <v>0.15</v>
      </c>
      <c r="R117" s="478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2">
        <v>0.15</v>
      </c>
      <c r="R118" s="478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2">
        <v>0.15</v>
      </c>
      <c r="R119" s="478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2">
        <v>0.15</v>
      </c>
      <c r="R120" s="478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2">
        <v>0.15</v>
      </c>
      <c r="R121" s="478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2" t="s">
        <v>2268</v>
      </c>
      <c r="R122" s="478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2">
        <v>3000</v>
      </c>
      <c r="R128" s="4773"/>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1">
        <v>0.02</v>
      </c>
      <c r="R136" s="476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2">
        <v>7.0000000000000007E-2</v>
      </c>
      <c r="R137" s="4762"/>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2">
        <v>7.0000000000000007E-2</v>
      </c>
      <c r="R138" s="4762"/>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2">
        <v>0.03</v>
      </c>
      <c r="R139" s="4762"/>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2">
        <v>0.03</v>
      </c>
      <c r="R140" s="4762"/>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3">
        <v>0</v>
      </c>
      <c r="R141" s="4763"/>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1">
        <v>0.1</v>
      </c>
      <c r="R143" s="4761"/>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60">
        <v>1000000</v>
      </c>
      <c r="R144" s="476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3449</v>
      </c>
      <c r="K145" s="168"/>
      <c r="L145" s="168"/>
      <c r="M145" s="168"/>
      <c r="N145" s="168"/>
      <c r="O145" s="168"/>
      <c r="P145" s="166"/>
      <c r="Q145" s="4760">
        <v>1000000</v>
      </c>
      <c r="R145" s="476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60">
        <v>900000</v>
      </c>
      <c r="R146" s="476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60"/>
      <c r="R147" s="476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3458</v>
      </c>
      <c r="K148" s="168"/>
      <c r="L148" s="168"/>
      <c r="M148" s="168"/>
      <c r="N148" s="168"/>
      <c r="O148" s="168"/>
      <c r="P148" s="166"/>
      <c r="Q148" s="4781">
        <v>4000000</v>
      </c>
      <c r="R148" s="4781"/>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4" t="s">
        <v>6321</v>
      </c>
      <c r="R150" s="4764"/>
    </row>
    <row r="151" spans="1:28" ht="11.25" customHeight="1">
      <c r="F151" s="168" t="s">
        <v>2479</v>
      </c>
      <c r="G151" s="168"/>
      <c r="H151" s="168" t="s">
        <v>6320</v>
      </c>
      <c r="I151" s="166"/>
      <c r="J151" s="4761">
        <v>0.35</v>
      </c>
      <c r="K151" s="4761"/>
      <c r="L151" s="168"/>
      <c r="M151" s="168"/>
      <c r="N151" s="168"/>
      <c r="O151" s="168"/>
      <c r="P151" s="166"/>
      <c r="Q151" s="4780">
        <v>900000</v>
      </c>
      <c r="R151" s="4780"/>
    </row>
    <row r="152" spans="1:28" ht="11.25" customHeight="1">
      <c r="A152" s="272"/>
      <c r="F152" s="168" t="s">
        <v>6319</v>
      </c>
      <c r="G152" s="168"/>
      <c r="H152" s="168" t="s">
        <v>6320</v>
      </c>
      <c r="I152" s="166"/>
      <c r="J152" s="4762">
        <v>0.35</v>
      </c>
      <c r="K152" s="4762"/>
      <c r="L152" s="168"/>
      <c r="M152" s="168"/>
      <c r="N152" s="168"/>
      <c r="O152" s="168"/>
      <c r="P152" s="166"/>
      <c r="Q152" s="4760">
        <v>1000000</v>
      </c>
      <c r="R152" s="4760"/>
    </row>
    <row r="153" spans="1:28" s="267" customFormat="1" ht="11.25" customHeight="1">
      <c r="A153" s="272"/>
      <c r="B153" s="168"/>
      <c r="C153" s="168"/>
      <c r="D153" s="166"/>
      <c r="E153" s="166"/>
      <c r="F153" s="168" t="s">
        <v>3141</v>
      </c>
      <c r="G153" s="168"/>
      <c r="H153" s="168" t="s">
        <v>6320</v>
      </c>
      <c r="I153" s="166"/>
      <c r="J153" s="4763">
        <v>0.3</v>
      </c>
      <c r="K153" s="4763"/>
      <c r="L153" s="168"/>
      <c r="M153" s="168"/>
      <c r="N153" s="168"/>
      <c r="O153" s="168"/>
      <c r="P153" s="166"/>
      <c r="Q153" s="4781">
        <v>1000000</v>
      </c>
      <c r="R153" s="4781"/>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61">
        <v>0.05</v>
      </c>
      <c r="R155" s="4761"/>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62">
        <v>0.4</v>
      </c>
      <c r="R156" s="4762"/>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63">
        <v>0.02</v>
      </c>
      <c r="R157" s="4763"/>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8" t="s">
        <v>3555</v>
      </c>
      <c r="E170" s="279"/>
      <c r="F170" s="279"/>
    </row>
    <row r="171" spans="2:37" ht="10.5" customHeight="1">
      <c r="C171" s="4788"/>
      <c r="E171" s="279"/>
      <c r="F171" s="279"/>
    </row>
    <row r="172" spans="2:37" ht="10.5" customHeight="1">
      <c r="C172" s="478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3443</v>
      </c>
      <c r="O173" s="502" t="s">
        <v>3646</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3647</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3648</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3649</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3650</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3651</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3652</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3653</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3654</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3655</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3656</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3657</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3658</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3659</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3660</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3661</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3662</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3663</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3664</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3665</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3666</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3667</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3668</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3669</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3670</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3671</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3672</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3673</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3674</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3676</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3677</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3678</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3679</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3680</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3681</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3682</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3683</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3684</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3685</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3686</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3687</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3688</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3689</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3690</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3691</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3692</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3693</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3694</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3695</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3696</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3697</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3698</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3699</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3700</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3701</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3702</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3703</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3704</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3705</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3706</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3707</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3708</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3709</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3710</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3711</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3712</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3713</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3714</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3716</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3717</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3718</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3719</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3720</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3721</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3723</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3724</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3725</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3726</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3727</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3728</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3729</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3730</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3731</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3732</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3733</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3734</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3735</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3736</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3737</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3738</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3739</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3740</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3741</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3742</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3743</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3744</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3745</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3746</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3747</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3748</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3749</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3750</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3751</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3752</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3753</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3754</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3755</v>
      </c>
      <c r="P282" s="504" t="s">
        <v>2225</v>
      </c>
      <c r="Q282" s="287"/>
      <c r="R282" s="168"/>
      <c r="S282" s="380"/>
      <c r="T282" s="473" t="s">
        <v>3940</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3756</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3757</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3758</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3759</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3760</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3761</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3762</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3763</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3764</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3765</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3766</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3767</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3768</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3769</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3770</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3772</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3773</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3774</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3775</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3776</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3777</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3778</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3779</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3780</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3781</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3782</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3783</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3784</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3785</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3786</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3787</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3788</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3789</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3790</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3791</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3792</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3793</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3794</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3795</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3796</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3797</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3798</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3799</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3800</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3801</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3802</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3803</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3804</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3805</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3806</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5">
        <v>2019</v>
      </c>
      <c r="D335" s="4766"/>
      <c r="E335" s="4766"/>
      <c r="F335" s="4766"/>
      <c r="G335" s="4765">
        <v>2020</v>
      </c>
      <c r="H335" s="4765"/>
      <c r="I335" s="4765"/>
      <c r="J335" s="4765"/>
      <c r="K335"/>
      <c r="L335" s="4767" t="s">
        <v>4264</v>
      </c>
      <c r="M335" s="4768"/>
      <c r="N335" s="4768"/>
      <c r="O335" s="4769"/>
      <c r="P335" s="504" t="s">
        <v>762</v>
      </c>
      <c r="Q335" s="287"/>
      <c r="R335" s="168"/>
      <c r="S335" s="380"/>
      <c r="T335" s="505" t="s">
        <v>659</v>
      </c>
      <c r="U335" s="505" t="s">
        <v>2082</v>
      </c>
      <c r="W335" s="418" t="s">
        <v>1395</v>
      </c>
      <c r="X335" s="418" t="s">
        <v>3138</v>
      </c>
      <c r="AA335" s="27"/>
      <c r="AB335" s="27"/>
      <c r="AC335" s="809"/>
      <c r="AD335" s="481"/>
    </row>
    <row r="336" spans="3:30" ht="10.5" customHeight="1">
      <c r="C336" s="4770" t="s">
        <v>4164</v>
      </c>
      <c r="D336" s="4771" t="s">
        <v>4165</v>
      </c>
      <c r="E336" s="4771" t="s">
        <v>4166</v>
      </c>
      <c r="F336" s="4771" t="s">
        <v>4167</v>
      </c>
      <c r="G336" s="4770" t="s">
        <v>4164</v>
      </c>
      <c r="H336" s="4771" t="s">
        <v>4165</v>
      </c>
      <c r="I336" s="4771" t="s">
        <v>4166</v>
      </c>
      <c r="J336" s="4771" t="s">
        <v>4167</v>
      </c>
      <c r="K336"/>
      <c r="L336" s="4770" t="s">
        <v>4164</v>
      </c>
      <c r="M336" s="4771" t="s">
        <v>4165</v>
      </c>
      <c r="N336" s="4771" t="s">
        <v>4166</v>
      </c>
      <c r="O336" s="4771" t="s">
        <v>4167</v>
      </c>
      <c r="P336" s="504" t="s">
        <v>2311</v>
      </c>
      <c r="Q336" s="287"/>
      <c r="R336" s="168"/>
      <c r="S336" s="380"/>
      <c r="T336" s="473" t="s">
        <v>147</v>
      </c>
      <c r="U336" s="473" t="s">
        <v>1788</v>
      </c>
      <c r="W336" s="418" t="s">
        <v>1518</v>
      </c>
      <c r="X336" s="418" t="s">
        <v>3138</v>
      </c>
      <c r="AA336" s="27"/>
      <c r="AB336" s="27"/>
      <c r="AC336" s="810"/>
      <c r="AD336" s="481"/>
    </row>
    <row r="337" spans="3:30" ht="10.5" customHeight="1">
      <c r="C337" s="4770"/>
      <c r="D337" s="4771"/>
      <c r="E337" s="4771"/>
      <c r="F337" s="4771"/>
      <c r="G337" s="4770"/>
      <c r="H337" s="4771"/>
      <c r="I337" s="4771"/>
      <c r="J337" s="4771"/>
      <c r="K337"/>
      <c r="L337" s="4770"/>
      <c r="M337" s="4771"/>
      <c r="N337" s="4771"/>
      <c r="O337" s="4771"/>
      <c r="P337" s="504" t="s">
        <v>2312</v>
      </c>
      <c r="Q337" s="287"/>
      <c r="R337" s="168"/>
      <c r="S337" s="380"/>
      <c r="T337" s="473" t="s">
        <v>188</v>
      </c>
      <c r="U337" s="473" t="s">
        <v>598</v>
      </c>
      <c r="W337" s="418" t="s">
        <v>2026</v>
      </c>
      <c r="X337" s="418" t="s">
        <v>3138</v>
      </c>
      <c r="AA337" s="27"/>
      <c r="AB337" s="27"/>
      <c r="AC337" s="809"/>
      <c r="AD337" s="481"/>
    </row>
    <row r="338" spans="3:30" ht="10.5" customHeight="1">
      <c r="C338" s="4770"/>
      <c r="D338" s="4771"/>
      <c r="E338" s="4771"/>
      <c r="F338" s="4771"/>
      <c r="G338" s="4770"/>
      <c r="H338" s="4771"/>
      <c r="I338" s="4771"/>
      <c r="J338" s="4771"/>
      <c r="K338"/>
      <c r="L338" s="4770"/>
      <c r="M338" s="4771"/>
      <c r="N338" s="4771"/>
      <c r="O338" s="4771"/>
      <c r="P338" s="504" t="s">
        <v>2314</v>
      </c>
      <c r="Q338" s="287"/>
      <c r="R338" s="168"/>
      <c r="S338" s="380"/>
      <c r="T338" s="473" t="s">
        <v>2449</v>
      </c>
      <c r="U338" s="473" t="s">
        <v>1919</v>
      </c>
      <c r="W338" s="418" t="s">
        <v>2028</v>
      </c>
      <c r="X338" s="418" t="s">
        <v>3138</v>
      </c>
      <c r="AA338" s="27"/>
      <c r="AB338" s="27"/>
      <c r="AC338" s="809"/>
      <c r="AD338" s="481"/>
    </row>
    <row r="339" spans="3:30" ht="10.5" customHeight="1">
      <c r="C339" s="4770"/>
      <c r="D339" s="4771"/>
      <c r="E339" s="4771"/>
      <c r="F339" s="4771"/>
      <c r="G339" s="4770"/>
      <c r="H339" s="4771"/>
      <c r="I339" s="4771"/>
      <c r="J339" s="4771"/>
      <c r="K339"/>
      <c r="L339" s="4770"/>
      <c r="M339" s="4771"/>
      <c r="N339" s="4771"/>
      <c r="O339" s="4771"/>
      <c r="P339" s="504" t="s">
        <v>2316</v>
      </c>
      <c r="Q339" s="287"/>
      <c r="R339" s="168"/>
      <c r="S339" s="380"/>
      <c r="T339" s="473" t="s">
        <v>759</v>
      </c>
      <c r="U339" s="473" t="s">
        <v>99</v>
      </c>
      <c r="W339" s="418" t="s">
        <v>1386</v>
      </c>
      <c r="X339" s="418" t="s">
        <v>3138</v>
      </c>
      <c r="AA339" s="27"/>
      <c r="AB339" s="27"/>
      <c r="AC339" s="809"/>
      <c r="AD339" s="481"/>
    </row>
    <row r="340" spans="3:30" ht="10.5" customHeight="1">
      <c r="C340" s="4770"/>
      <c r="D340" s="4771"/>
      <c r="E340" s="4771"/>
      <c r="F340" s="4771"/>
      <c r="G340" s="4770"/>
      <c r="H340" s="4771"/>
      <c r="I340" s="4771"/>
      <c r="J340" s="4771"/>
      <c r="K340"/>
      <c r="L340" s="4770"/>
      <c r="M340" s="4771"/>
      <c r="N340" s="4771"/>
      <c r="O340" s="4771"/>
      <c r="P340" s="504" t="s">
        <v>2317</v>
      </c>
      <c r="Q340" s="287"/>
      <c r="R340" s="168"/>
      <c r="S340" s="380"/>
      <c r="T340" s="473" t="s">
        <v>761</v>
      </c>
      <c r="U340" s="473" t="s">
        <v>115</v>
      </c>
      <c r="W340" s="418" t="s">
        <v>1492</v>
      </c>
      <c r="X340" s="418" t="s">
        <v>3138</v>
      </c>
      <c r="AA340" s="27"/>
      <c r="AB340" s="27"/>
      <c r="AC340" s="809"/>
      <c r="AD340" s="481"/>
    </row>
    <row r="341" spans="3:30" ht="10.5" customHeight="1">
      <c r="C341" s="4770"/>
      <c r="D341" s="4771"/>
      <c r="E341" s="4771"/>
      <c r="F341" s="4771"/>
      <c r="G341" s="4770"/>
      <c r="H341" s="4771"/>
      <c r="I341" s="4771"/>
      <c r="J341" s="4771"/>
      <c r="K341"/>
      <c r="L341" s="4770"/>
      <c r="M341" s="4771"/>
      <c r="N341" s="4771"/>
      <c r="O341" s="4771"/>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3941</v>
      </c>
      <c r="U367" s="505" t="s">
        <v>634</v>
      </c>
      <c r="W367" s="418" t="s">
        <v>2399</v>
      </c>
      <c r="X367" s="418" t="s">
        <v>3138</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6301</v>
      </c>
      <c r="U372" s="505" t="s">
        <v>2371</v>
      </c>
      <c r="W372" s="418" t="s">
        <v>1816</v>
      </c>
      <c r="X372" s="418" t="s">
        <v>3138</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3493</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3942</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3943</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5FhtIzm0x1iVp5bgQd9GOIgmoVZJky+scEmT6nZse/qZuICJlDFKC4U3LC6anKDb9C6Fyrs744NEYepql6KXfw==" saltValue="8IEzq6bZLNzJZJN+9uZ7P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3"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451" t="str">
        <f>CONCATENATE("PART TWO - DEVELOPMENT TEAM INFORMATION","  -  ",'Part I-Project Information'!$O$7," ",'Part I-Project Information'!$F$35,", ",'Part I-Project Information'!F39,", ",'Part I-Project Information'!J40," County")</f>
        <v>PART TWO - DEVELOPMENT TEAM INFORMATION  -  2021-014 Dunbar Court, Byron, Peach County</v>
      </c>
      <c r="B2" s="3452"/>
      <c r="C2" s="3452"/>
      <c r="D2" s="3452"/>
      <c r="E2" s="3452"/>
      <c r="F2" s="3452"/>
      <c r="G2" s="3452"/>
      <c r="H2" s="3452"/>
      <c r="I2" s="3452"/>
      <c r="J2" s="3452"/>
      <c r="K2" s="3452"/>
      <c r="L2" s="3452"/>
      <c r="M2" s="3452"/>
      <c r="N2" s="3452"/>
      <c r="O2" s="3452"/>
      <c r="P2" s="3452"/>
      <c r="Q2" s="3452"/>
      <c r="R2" s="3452"/>
      <c r="S2" s="3453"/>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3614</v>
      </c>
      <c r="O4" s="3454" t="str">
        <f>'Part I-Project Information'!$B$7</f>
        <v>2021 Core Application</v>
      </c>
      <c r="P4" s="3455"/>
      <c r="Q4" s="3455"/>
      <c r="R4" s="3455"/>
      <c r="S4" s="345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8" t="s">
        <v>6875</v>
      </c>
      <c r="I6" s="3381"/>
      <c r="J6" s="3381"/>
      <c r="K6" s="3381"/>
      <c r="L6" s="3381"/>
      <c r="M6" s="3381"/>
      <c r="N6" s="3382"/>
      <c r="O6" s="2620" t="s">
        <v>1899</v>
      </c>
      <c r="P6" s="2620"/>
      <c r="Q6" s="3378" t="s">
        <v>6860</v>
      </c>
      <c r="R6" s="3381"/>
      <c r="S6" s="3382"/>
      <c r="Y6" s="922"/>
      <c r="Z6" s="1773">
        <v>6</v>
      </c>
      <c r="AA6" s="2628"/>
    </row>
    <row r="7" spans="1:27" s="289" customFormat="1" ht="11.25" customHeight="1">
      <c r="D7" s="326"/>
      <c r="E7" s="2621" t="s">
        <v>982</v>
      </c>
      <c r="F7" s="301"/>
      <c r="H7" s="3288" t="s">
        <v>6862</v>
      </c>
      <c r="I7" s="3446"/>
      <c r="J7" s="3446"/>
      <c r="K7" s="3447"/>
      <c r="L7" s="3446"/>
      <c r="M7" s="3446"/>
      <c r="N7" s="3448"/>
      <c r="O7" s="2620" t="s">
        <v>1668</v>
      </c>
      <c r="Q7" s="3153" t="s">
        <v>6861</v>
      </c>
      <c r="R7" s="3267"/>
      <c r="S7" s="3268"/>
      <c r="V7" s="922"/>
      <c r="W7" s="922"/>
      <c r="X7" s="922"/>
      <c r="Y7" s="922"/>
      <c r="Z7" s="1773">
        <v>7</v>
      </c>
      <c r="AA7" s="2628"/>
    </row>
    <row r="8" spans="1:27" s="289" customFormat="1" ht="11.25" customHeight="1">
      <c r="D8" s="326"/>
      <c r="E8" s="2621" t="s">
        <v>588</v>
      </c>
      <c r="H8" s="3288" t="s">
        <v>1979</v>
      </c>
      <c r="I8" s="3447"/>
      <c r="J8" s="3281"/>
      <c r="K8" s="2752" t="s">
        <v>732</v>
      </c>
      <c r="L8" s="3187" t="s">
        <v>2972</v>
      </c>
      <c r="M8" s="3446"/>
      <c r="N8" s="3448"/>
      <c r="O8" s="2620" t="s">
        <v>1644</v>
      </c>
      <c r="Q8" s="3139">
        <v>3343210529</v>
      </c>
      <c r="R8" s="3140"/>
      <c r="S8" s="3141"/>
      <c r="Z8" s="1773">
        <v>8</v>
      </c>
    </row>
    <row r="9" spans="1:27" s="289" customFormat="1" ht="11.25" customHeight="1">
      <c r="D9" s="326"/>
      <c r="E9" s="2621" t="s">
        <v>1717</v>
      </c>
      <c r="H9" s="2694" t="s">
        <v>805</v>
      </c>
      <c r="I9" s="916" t="s">
        <v>2128</v>
      </c>
      <c r="J9" s="3457">
        <v>368304303</v>
      </c>
      <c r="K9" s="3458"/>
      <c r="L9" s="289" t="s">
        <v>3323</v>
      </c>
      <c r="M9" s="3459" t="s">
        <v>6887</v>
      </c>
      <c r="N9" s="3460"/>
      <c r="O9" s="2620" t="s">
        <v>1889</v>
      </c>
      <c r="Q9" s="3139">
        <v>3344440967</v>
      </c>
      <c r="R9" s="3140"/>
      <c r="S9" s="3141"/>
      <c r="Z9" s="1773">
        <v>9</v>
      </c>
    </row>
    <row r="10" spans="1:27" s="289" customFormat="1" ht="11.25" customHeight="1">
      <c r="D10" s="326"/>
      <c r="E10" s="2621" t="s">
        <v>3615</v>
      </c>
      <c r="H10" s="3444">
        <v>3343210529</v>
      </c>
      <c r="I10" s="3461"/>
      <c r="J10" s="2753"/>
      <c r="K10" s="2629" t="s">
        <v>1894</v>
      </c>
      <c r="L10" s="3279" t="s">
        <v>6896</v>
      </c>
      <c r="M10" s="3151"/>
      <c r="N10" s="3151"/>
      <c r="O10" s="3341"/>
      <c r="P10" s="3341"/>
      <c r="Q10" s="3151"/>
      <c r="R10" s="3151"/>
      <c r="S10" s="3152"/>
      <c r="Z10" s="1773">
        <v>10</v>
      </c>
    </row>
    <row r="11" spans="1:27" s="289" customFormat="1" ht="11.25" customHeight="1">
      <c r="D11" s="326"/>
      <c r="E11" s="1053" t="s">
        <v>3614</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8" t="s">
        <v>6883</v>
      </c>
      <c r="I15" s="3381"/>
      <c r="J15" s="3381"/>
      <c r="K15" s="3381"/>
      <c r="L15" s="3381"/>
      <c r="M15" s="3381"/>
      <c r="N15" s="3382"/>
      <c r="O15" s="2620" t="s">
        <v>1899</v>
      </c>
      <c r="P15" s="2620"/>
      <c r="Q15" s="3378" t="s">
        <v>6860</v>
      </c>
      <c r="R15" s="3381"/>
      <c r="S15" s="3382"/>
      <c r="Z15" s="1773">
        <v>15</v>
      </c>
    </row>
    <row r="16" spans="1:27" s="289" customFormat="1" ht="11.25" customHeight="1">
      <c r="D16" s="326"/>
      <c r="E16" s="2621" t="s">
        <v>982</v>
      </c>
      <c r="F16" s="301"/>
      <c r="H16" s="3288" t="s">
        <v>6862</v>
      </c>
      <c r="I16" s="3446"/>
      <c r="J16" s="3446"/>
      <c r="K16" s="3447"/>
      <c r="L16" s="3446"/>
      <c r="M16" s="3446"/>
      <c r="N16" s="3448"/>
      <c r="O16" s="2620" t="s">
        <v>1668</v>
      </c>
      <c r="Q16" s="3153" t="s">
        <v>6861</v>
      </c>
      <c r="R16" s="3267"/>
      <c r="S16" s="3268"/>
      <c r="Z16" s="1773">
        <v>16</v>
      </c>
    </row>
    <row r="17" spans="4:26" s="289" customFormat="1" ht="11.25" customHeight="1">
      <c r="D17" s="326"/>
      <c r="E17" s="2621" t="s">
        <v>588</v>
      </c>
      <c r="H17" s="3288" t="s">
        <v>1979</v>
      </c>
      <c r="I17" s="3447"/>
      <c r="J17" s="3281"/>
      <c r="K17" s="2623" t="s">
        <v>2553</v>
      </c>
      <c r="L17" s="3288" t="s">
        <v>6895</v>
      </c>
      <c r="M17" s="3446"/>
      <c r="N17" s="3281"/>
      <c r="O17" s="2620" t="s">
        <v>1644</v>
      </c>
      <c r="Q17" s="3139">
        <v>3343210529</v>
      </c>
      <c r="R17" s="3140"/>
      <c r="S17" s="3141"/>
      <c r="Z17" s="1773">
        <v>17</v>
      </c>
    </row>
    <row r="18" spans="4:26" s="289" customFormat="1" ht="11.25" customHeight="1">
      <c r="D18" s="291"/>
      <c r="E18" s="2621" t="s">
        <v>1717</v>
      </c>
      <c r="H18" s="2694" t="s">
        <v>805</v>
      </c>
      <c r="K18" s="916" t="s">
        <v>2128</v>
      </c>
      <c r="L18" s="3321">
        <v>368304303</v>
      </c>
      <c r="M18" s="3449"/>
      <c r="O18" s="2620" t="s">
        <v>1889</v>
      </c>
      <c r="Q18" s="3139">
        <v>3344440967</v>
      </c>
      <c r="R18" s="3140"/>
      <c r="S18" s="3141"/>
      <c r="Z18" s="1773">
        <v>18</v>
      </c>
    </row>
    <row r="19" spans="4:26" s="289" customFormat="1" ht="11.25" customHeight="1">
      <c r="D19" s="326"/>
      <c r="E19" s="2621" t="s">
        <v>3615</v>
      </c>
      <c r="H19" s="3444">
        <v>3343210529</v>
      </c>
      <c r="I19" s="3445"/>
      <c r="J19" s="2756"/>
      <c r="K19" s="2629" t="s">
        <v>1894</v>
      </c>
      <c r="L19" s="3150" t="s">
        <v>6896</v>
      </c>
      <c r="M19" s="3151"/>
      <c r="N19" s="3341"/>
      <c r="O19" s="3341"/>
      <c r="P19" s="3341"/>
      <c r="Q19" s="3151"/>
      <c r="R19" s="3151"/>
      <c r="S19" s="315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8"/>
      <c r="I21" s="3381"/>
      <c r="J21" s="3381"/>
      <c r="K21" s="3381"/>
      <c r="L21" s="3381"/>
      <c r="M21" s="3381"/>
      <c r="N21" s="3382"/>
      <c r="O21" s="2620" t="s">
        <v>1899</v>
      </c>
      <c r="P21" s="2620"/>
      <c r="Q21" s="3378"/>
      <c r="R21" s="3381"/>
      <c r="S21" s="3382"/>
      <c r="Z21" s="1773">
        <v>21</v>
      </c>
    </row>
    <row r="22" spans="4:26" s="289" customFormat="1" ht="11.25" customHeight="1">
      <c r="D22" s="326"/>
      <c r="E22" s="2621" t="s">
        <v>982</v>
      </c>
      <c r="F22" s="301"/>
      <c r="H22" s="3288"/>
      <c r="I22" s="3446"/>
      <c r="J22" s="3446"/>
      <c r="K22" s="3447"/>
      <c r="L22" s="3446"/>
      <c r="M22" s="3446"/>
      <c r="N22" s="3448"/>
      <c r="O22" s="2620" t="s">
        <v>1668</v>
      </c>
      <c r="Q22" s="3153"/>
      <c r="R22" s="3267"/>
      <c r="S22" s="3268"/>
      <c r="Z22" s="1773">
        <v>22</v>
      </c>
    </row>
    <row r="23" spans="4:26" s="289" customFormat="1" ht="11.25" customHeight="1">
      <c r="D23" s="326"/>
      <c r="E23" s="2621" t="s">
        <v>588</v>
      </c>
      <c r="H23" s="3288"/>
      <c r="I23" s="3447"/>
      <c r="J23" s="3281"/>
      <c r="K23" s="2623" t="s">
        <v>2553</v>
      </c>
      <c r="L23" s="3288"/>
      <c r="M23" s="3446"/>
      <c r="N23" s="3281"/>
      <c r="O23" s="2620" t="s">
        <v>1644</v>
      </c>
      <c r="Q23" s="3139"/>
      <c r="R23" s="3140"/>
      <c r="S23" s="3141"/>
      <c r="Z23" s="1773">
        <v>23</v>
      </c>
    </row>
    <row r="24" spans="4:26" s="289" customFormat="1" ht="11.25" customHeight="1">
      <c r="E24" s="2621" t="s">
        <v>1717</v>
      </c>
      <c r="H24" s="2694"/>
      <c r="K24" s="916" t="s">
        <v>2128</v>
      </c>
      <c r="L24" s="3321"/>
      <c r="M24" s="3449"/>
      <c r="O24" s="2620" t="s">
        <v>1889</v>
      </c>
      <c r="Q24" s="3139"/>
      <c r="R24" s="3140"/>
      <c r="S24" s="3141"/>
      <c r="Z24" s="1773">
        <v>24</v>
      </c>
    </row>
    <row r="25" spans="4:26" s="289" customFormat="1" ht="11.25" customHeight="1">
      <c r="D25" s="326"/>
      <c r="E25" s="2621" t="s">
        <v>3615</v>
      </c>
      <c r="H25" s="3444"/>
      <c r="I25" s="3445"/>
      <c r="J25" s="2756"/>
      <c r="K25" s="2629" t="s">
        <v>1894</v>
      </c>
      <c r="L25" s="3150"/>
      <c r="M25" s="3151"/>
      <c r="N25" s="3341"/>
      <c r="O25" s="3341"/>
      <c r="P25" s="3341"/>
      <c r="Q25" s="3151"/>
      <c r="R25" s="3151"/>
      <c r="S25" s="315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8"/>
      <c r="I27" s="3381"/>
      <c r="J27" s="3381"/>
      <c r="K27" s="3381"/>
      <c r="L27" s="3381"/>
      <c r="M27" s="3381"/>
      <c r="N27" s="3382"/>
      <c r="O27" s="2620" t="s">
        <v>1899</v>
      </c>
      <c r="P27" s="2620"/>
      <c r="Q27" s="3378"/>
      <c r="R27" s="3381"/>
      <c r="S27" s="3382"/>
      <c r="Z27" s="1773">
        <v>27</v>
      </c>
    </row>
    <row r="28" spans="4:26" s="289" customFormat="1" ht="11.25" customHeight="1">
      <c r="D28" s="326"/>
      <c r="E28" s="2621" t="s">
        <v>982</v>
      </c>
      <c r="F28" s="301"/>
      <c r="H28" s="3288"/>
      <c r="I28" s="3446"/>
      <c r="J28" s="3446"/>
      <c r="K28" s="3447"/>
      <c r="L28" s="3446"/>
      <c r="M28" s="3446"/>
      <c r="N28" s="3448"/>
      <c r="O28" s="2620" t="s">
        <v>1668</v>
      </c>
      <c r="Q28" s="3153"/>
      <c r="R28" s="3267"/>
      <c r="S28" s="3268"/>
      <c r="Z28" s="1773">
        <v>28</v>
      </c>
    </row>
    <row r="29" spans="4:26" s="289" customFormat="1" ht="11.25" customHeight="1">
      <c r="D29" s="326"/>
      <c r="E29" s="2621" t="s">
        <v>588</v>
      </c>
      <c r="H29" s="3288"/>
      <c r="I29" s="3447"/>
      <c r="J29" s="3281"/>
      <c r="K29" s="2623" t="s">
        <v>2553</v>
      </c>
      <c r="L29" s="3288"/>
      <c r="M29" s="3446"/>
      <c r="N29" s="3281"/>
      <c r="O29" s="2620" t="s">
        <v>1644</v>
      </c>
      <c r="Q29" s="3139"/>
      <c r="R29" s="3140"/>
      <c r="S29" s="3141"/>
      <c r="Z29" s="1773">
        <v>29</v>
      </c>
    </row>
    <row r="30" spans="4:26" s="289" customFormat="1" ht="11.25" customHeight="1">
      <c r="E30" s="2621" t="s">
        <v>1717</v>
      </c>
      <c r="H30" s="2694"/>
      <c r="K30" s="916" t="s">
        <v>2128</v>
      </c>
      <c r="L30" s="3321"/>
      <c r="M30" s="3449"/>
      <c r="O30" s="2620" t="s">
        <v>1889</v>
      </c>
      <c r="Q30" s="3139"/>
      <c r="R30" s="3140"/>
      <c r="S30" s="3141"/>
      <c r="Z30" s="1773">
        <v>30</v>
      </c>
    </row>
    <row r="31" spans="4:26" s="289" customFormat="1" ht="11.25" customHeight="1">
      <c r="D31" s="326"/>
      <c r="E31" s="2621" t="s">
        <v>3615</v>
      </c>
      <c r="H31" s="3444"/>
      <c r="I31" s="3445"/>
      <c r="J31" s="2756"/>
      <c r="K31" s="2629" t="s">
        <v>1894</v>
      </c>
      <c r="L31" s="3150"/>
      <c r="M31" s="3151"/>
      <c r="N31" s="3341"/>
      <c r="O31" s="3341"/>
      <c r="P31" s="3341"/>
      <c r="Q31" s="3151"/>
      <c r="R31" s="3151"/>
      <c r="S31" s="3152"/>
      <c r="Z31" s="1773">
        <v>31</v>
      </c>
    </row>
    <row r="32" spans="4:26" ht="4.3499999999999996" customHeight="1">
      <c r="Z32" s="1773">
        <v>32</v>
      </c>
    </row>
    <row r="33" spans="3:26" s="289" customFormat="1" ht="11.25" customHeight="1">
      <c r="C33" s="328" t="s">
        <v>1898</v>
      </c>
      <c r="D33" s="325" t="s">
        <v>1773</v>
      </c>
      <c r="H33" s="2628"/>
      <c r="I33" s="2628"/>
      <c r="J33" s="2628"/>
      <c r="K33" s="1053" t="s">
        <v>3614</v>
      </c>
      <c r="L33" s="2628"/>
      <c r="M33" s="2628"/>
      <c r="Z33" s="1773">
        <v>33</v>
      </c>
    </row>
    <row r="34" spans="3:26" s="289" customFormat="1" ht="11.25" customHeight="1">
      <c r="D34" s="291" t="s">
        <v>2022</v>
      </c>
      <c r="E34" s="289" t="s">
        <v>720</v>
      </c>
      <c r="H34" s="3378" t="s">
        <v>6888</v>
      </c>
      <c r="I34" s="3381"/>
      <c r="J34" s="3381"/>
      <c r="K34" s="3381"/>
      <c r="L34" s="3381"/>
      <c r="M34" s="3381"/>
      <c r="N34" s="3382"/>
      <c r="O34" s="2620" t="s">
        <v>1899</v>
      </c>
      <c r="P34" s="2620"/>
      <c r="Q34" s="3378" t="s">
        <v>6892</v>
      </c>
      <c r="R34" s="3381"/>
      <c r="S34" s="3382"/>
      <c r="Z34" s="1773">
        <v>34</v>
      </c>
    </row>
    <row r="35" spans="3:26" s="289" customFormat="1" ht="11.25" customHeight="1">
      <c r="D35" s="326"/>
      <c r="E35" s="2621" t="s">
        <v>982</v>
      </c>
      <c r="F35" s="301"/>
      <c r="H35" s="3288" t="s">
        <v>6889</v>
      </c>
      <c r="I35" s="3446"/>
      <c r="J35" s="3446"/>
      <c r="K35" s="3447"/>
      <c r="L35" s="3446"/>
      <c r="M35" s="3446"/>
      <c r="N35" s="3448"/>
      <c r="O35" s="2620" t="s">
        <v>1668</v>
      </c>
      <c r="Q35" s="3153" t="s">
        <v>6893</v>
      </c>
      <c r="R35" s="3267"/>
      <c r="S35" s="3268"/>
      <c r="Z35" s="1773">
        <v>35</v>
      </c>
    </row>
    <row r="36" spans="3:26" s="289" customFormat="1" ht="11.25" customHeight="1">
      <c r="D36" s="326"/>
      <c r="E36" s="2621" t="s">
        <v>588</v>
      </c>
      <c r="H36" s="3288" t="s">
        <v>2410</v>
      </c>
      <c r="I36" s="3447"/>
      <c r="J36" s="3281"/>
      <c r="K36" s="2623" t="s">
        <v>2553</v>
      </c>
      <c r="L36" s="3288" t="s">
        <v>6890</v>
      </c>
      <c r="M36" s="3446"/>
      <c r="N36" s="3281"/>
      <c r="O36" s="2620" t="s">
        <v>1644</v>
      </c>
      <c r="Q36" s="3139">
        <v>5734432021</v>
      </c>
      <c r="R36" s="3140"/>
      <c r="S36" s="3141"/>
      <c r="Z36" s="1773">
        <v>36</v>
      </c>
    </row>
    <row r="37" spans="3:26" s="289" customFormat="1" ht="11.25" customHeight="1">
      <c r="E37" s="2621" t="s">
        <v>1717</v>
      </c>
      <c r="H37" s="2694" t="s">
        <v>1292</v>
      </c>
      <c r="K37" s="916" t="s">
        <v>2128</v>
      </c>
      <c r="L37" s="3321">
        <v>652034905</v>
      </c>
      <c r="M37" s="3449"/>
      <c r="O37" s="2620" t="s">
        <v>1889</v>
      </c>
      <c r="Q37" s="3139">
        <v>5734248811</v>
      </c>
      <c r="R37" s="3140"/>
      <c r="S37" s="3141"/>
      <c r="Z37" s="1773">
        <v>37</v>
      </c>
    </row>
    <row r="38" spans="3:26" s="289" customFormat="1" ht="11.25" customHeight="1">
      <c r="D38" s="326"/>
      <c r="E38" s="2621" t="s">
        <v>3615</v>
      </c>
      <c r="H38" s="3444">
        <v>5734432021</v>
      </c>
      <c r="I38" s="3445"/>
      <c r="J38" s="2756"/>
      <c r="K38" s="2629" t="s">
        <v>1894</v>
      </c>
      <c r="L38" s="3150" t="s">
        <v>6891</v>
      </c>
      <c r="M38" s="3151"/>
      <c r="N38" s="3341"/>
      <c r="O38" s="3341"/>
      <c r="P38" s="3341"/>
      <c r="Q38" s="3151"/>
      <c r="R38" s="3151"/>
      <c r="S38" s="315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8" t="s">
        <v>6876</v>
      </c>
      <c r="I40" s="3381"/>
      <c r="J40" s="3381"/>
      <c r="K40" s="3381"/>
      <c r="L40" s="3381"/>
      <c r="M40" s="3381"/>
      <c r="N40" s="3382"/>
      <c r="O40" s="2620" t="s">
        <v>1899</v>
      </c>
      <c r="P40" s="2620"/>
      <c r="Q40" s="3378" t="s">
        <v>6892</v>
      </c>
      <c r="R40" s="3381"/>
      <c r="S40" s="3382"/>
      <c r="Z40" s="1773">
        <v>40</v>
      </c>
    </row>
    <row r="41" spans="3:26" s="289" customFormat="1" ht="11.25" customHeight="1">
      <c r="D41" s="326"/>
      <c r="E41" s="2621" t="s">
        <v>982</v>
      </c>
      <c r="F41" s="301"/>
      <c r="H41" s="3288" t="s">
        <v>6894</v>
      </c>
      <c r="I41" s="3446"/>
      <c r="J41" s="3446"/>
      <c r="K41" s="3447"/>
      <c r="L41" s="3446"/>
      <c r="M41" s="3446"/>
      <c r="N41" s="3448"/>
      <c r="O41" s="2620" t="s">
        <v>1668</v>
      </c>
      <c r="Q41" s="3153" t="s">
        <v>6893</v>
      </c>
      <c r="R41" s="3267"/>
      <c r="S41" s="3268"/>
      <c r="Z41" s="1773">
        <v>41</v>
      </c>
    </row>
    <row r="42" spans="3:26" s="289" customFormat="1" ht="11.25" customHeight="1">
      <c r="D42" s="326"/>
      <c r="E42" s="2621" t="s">
        <v>588</v>
      </c>
      <c r="H42" s="3288" t="s">
        <v>2410</v>
      </c>
      <c r="I42" s="3447"/>
      <c r="J42" s="3281"/>
      <c r="K42" s="2623" t="s">
        <v>2553</v>
      </c>
      <c r="L42" s="3288" t="s">
        <v>6890</v>
      </c>
      <c r="M42" s="3446"/>
      <c r="N42" s="3281"/>
      <c r="O42" s="2620" t="s">
        <v>1644</v>
      </c>
      <c r="Q42" s="3139">
        <v>5734432021</v>
      </c>
      <c r="R42" s="3140"/>
      <c r="S42" s="3141"/>
      <c r="Z42" s="1773">
        <v>42</v>
      </c>
    </row>
    <row r="43" spans="3:26" s="289" customFormat="1" ht="11.25" customHeight="1">
      <c r="D43" s="291"/>
      <c r="E43" s="2621" t="s">
        <v>1717</v>
      </c>
      <c r="H43" s="2694" t="s">
        <v>1292</v>
      </c>
      <c r="K43" s="916" t="s">
        <v>2128</v>
      </c>
      <c r="L43" s="3321">
        <v>652034905</v>
      </c>
      <c r="M43" s="3449"/>
      <c r="O43" s="2620" t="s">
        <v>1889</v>
      </c>
      <c r="Q43" s="3139">
        <v>5734248811</v>
      </c>
      <c r="R43" s="3140"/>
      <c r="S43" s="3141"/>
      <c r="Z43" s="1773">
        <v>43</v>
      </c>
    </row>
    <row r="44" spans="3:26" s="289" customFormat="1" ht="11.25" customHeight="1">
      <c r="D44" s="326"/>
      <c r="E44" s="2621" t="s">
        <v>3615</v>
      </c>
      <c r="H44" s="3444">
        <v>5734432021</v>
      </c>
      <c r="I44" s="3445"/>
      <c r="J44" s="2756"/>
      <c r="K44" s="2629" t="s">
        <v>1894</v>
      </c>
      <c r="L44" s="3150" t="s">
        <v>6891</v>
      </c>
      <c r="M44" s="3151"/>
      <c r="N44" s="3341"/>
      <c r="O44" s="3341"/>
      <c r="P44" s="3341"/>
      <c r="Q44" s="3151"/>
      <c r="R44" s="3151"/>
      <c r="S44" s="315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3614</v>
      </c>
      <c r="L46" s="2628"/>
      <c r="M46" s="2628"/>
      <c r="Z46" s="1773">
        <v>46</v>
      </c>
    </row>
    <row r="47" spans="3:26" s="289" customFormat="1" ht="11.25" customHeight="1">
      <c r="E47" s="289" t="s">
        <v>87</v>
      </c>
      <c r="H47" s="3378"/>
      <c r="I47" s="3381"/>
      <c r="J47" s="3381"/>
      <c r="K47" s="3381"/>
      <c r="L47" s="3381"/>
      <c r="M47" s="3381"/>
      <c r="N47" s="3382"/>
      <c r="O47" s="2620" t="s">
        <v>1899</v>
      </c>
      <c r="P47" s="2620"/>
      <c r="Q47" s="3378"/>
      <c r="R47" s="3381"/>
      <c r="S47" s="3382"/>
      <c r="Z47" s="1773">
        <v>47</v>
      </c>
    </row>
    <row r="48" spans="3:26" s="289" customFormat="1" ht="11.25" customHeight="1">
      <c r="D48" s="326"/>
      <c r="E48" s="2621" t="s">
        <v>982</v>
      </c>
      <c r="F48" s="301"/>
      <c r="H48" s="3288"/>
      <c r="I48" s="3446"/>
      <c r="J48" s="3446"/>
      <c r="K48" s="3447"/>
      <c r="L48" s="3446"/>
      <c r="M48" s="3446"/>
      <c r="N48" s="3448"/>
      <c r="O48" s="2620" t="s">
        <v>1668</v>
      </c>
      <c r="Q48" s="3153"/>
      <c r="R48" s="3267"/>
      <c r="S48" s="3268"/>
      <c r="Z48" s="1773">
        <v>48</v>
      </c>
    </row>
    <row r="49" spans="1:26" s="289" customFormat="1" ht="11.25" customHeight="1">
      <c r="D49" s="326"/>
      <c r="E49" s="2621" t="s">
        <v>588</v>
      </c>
      <c r="H49" s="3288"/>
      <c r="I49" s="3447"/>
      <c r="J49" s="3281"/>
      <c r="K49" s="2623" t="s">
        <v>2553</v>
      </c>
      <c r="L49" s="3288"/>
      <c r="M49" s="3446"/>
      <c r="N49" s="3281"/>
      <c r="O49" s="2620" t="s">
        <v>1644</v>
      </c>
      <c r="Q49" s="3139"/>
      <c r="R49" s="3140"/>
      <c r="S49" s="3141"/>
      <c r="Z49" s="1773">
        <v>49</v>
      </c>
    </row>
    <row r="50" spans="1:26" s="289" customFormat="1" ht="11.25" customHeight="1">
      <c r="E50" s="2621" t="s">
        <v>1717</v>
      </c>
      <c r="H50" s="2694"/>
      <c r="K50" s="916" t="s">
        <v>2128</v>
      </c>
      <c r="L50" s="3321"/>
      <c r="M50" s="3449"/>
      <c r="O50" s="2620" t="s">
        <v>1889</v>
      </c>
      <c r="Q50" s="3139"/>
      <c r="R50" s="3140"/>
      <c r="S50" s="3141"/>
      <c r="Z50" s="1773">
        <v>50</v>
      </c>
    </row>
    <row r="51" spans="1:26" s="289" customFormat="1" ht="11.25" customHeight="1">
      <c r="D51" s="326"/>
      <c r="E51" s="2621" t="s">
        <v>3615</v>
      </c>
      <c r="H51" s="3444"/>
      <c r="I51" s="3445"/>
      <c r="J51" s="2756"/>
      <c r="K51" s="2629" t="s">
        <v>1894</v>
      </c>
      <c r="L51" s="3150"/>
      <c r="M51" s="3151"/>
      <c r="N51" s="3341"/>
      <c r="O51" s="3341"/>
      <c r="P51" s="3341"/>
      <c r="Q51" s="3151"/>
      <c r="R51" s="3151"/>
      <c r="S51" s="3152"/>
      <c r="Z51" s="1773">
        <v>51</v>
      </c>
    </row>
    <row r="52" spans="1:26" ht="6.75" customHeight="1">
      <c r="Z52" s="1773">
        <v>52</v>
      </c>
    </row>
    <row r="53" spans="1:26" s="289" customFormat="1" ht="13.35" customHeight="1">
      <c r="A53" s="291" t="s">
        <v>710</v>
      </c>
      <c r="B53" s="291" t="s">
        <v>622</v>
      </c>
      <c r="F53" s="291"/>
      <c r="G53" s="2629"/>
      <c r="H53" s="2629"/>
      <c r="I53" s="2629"/>
      <c r="J53" s="2628"/>
      <c r="K53" s="1053" t="s">
        <v>3614</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8" t="s">
        <v>6859</v>
      </c>
      <c r="I55" s="3381"/>
      <c r="J55" s="3381"/>
      <c r="K55" s="3381"/>
      <c r="L55" s="3381"/>
      <c r="M55" s="3381"/>
      <c r="N55" s="3382"/>
      <c r="O55" s="2620" t="s">
        <v>1899</v>
      </c>
      <c r="P55" s="2620"/>
      <c r="Q55" s="3378" t="s">
        <v>6860</v>
      </c>
      <c r="R55" s="3381"/>
      <c r="S55" s="3382"/>
      <c r="Z55" s="1773">
        <v>55</v>
      </c>
    </row>
    <row r="56" spans="1:26" s="289" customFormat="1" ht="11.25" customHeight="1">
      <c r="D56" s="326"/>
      <c r="E56" s="2621" t="s">
        <v>982</v>
      </c>
      <c r="F56" s="301"/>
      <c r="H56" s="3288" t="s">
        <v>6862</v>
      </c>
      <c r="I56" s="3446"/>
      <c r="J56" s="3446"/>
      <c r="K56" s="3447"/>
      <c r="L56" s="3446"/>
      <c r="M56" s="3446"/>
      <c r="N56" s="3448"/>
      <c r="O56" s="2620" t="s">
        <v>1668</v>
      </c>
      <c r="Q56" s="3153" t="s">
        <v>6897</v>
      </c>
      <c r="R56" s="3267"/>
      <c r="S56" s="3268"/>
      <c r="Z56" s="1773">
        <v>56</v>
      </c>
    </row>
    <row r="57" spans="1:26" s="289" customFormat="1" ht="11.25" customHeight="1">
      <c r="D57" s="326"/>
      <c r="E57" s="2621" t="s">
        <v>588</v>
      </c>
      <c r="H57" s="3288" t="s">
        <v>1979</v>
      </c>
      <c r="I57" s="3447"/>
      <c r="J57" s="3281"/>
      <c r="K57" s="2623" t="s">
        <v>2553</v>
      </c>
      <c r="L57" s="3288" t="s">
        <v>6895</v>
      </c>
      <c r="M57" s="3446"/>
      <c r="N57" s="3281"/>
      <c r="O57" s="2620" t="s">
        <v>1644</v>
      </c>
      <c r="Q57" s="3139">
        <v>3343210529</v>
      </c>
      <c r="R57" s="3140"/>
      <c r="S57" s="3141"/>
      <c r="Z57" s="1773">
        <v>57</v>
      </c>
    </row>
    <row r="58" spans="1:26" s="289" customFormat="1" ht="11.25" customHeight="1">
      <c r="E58" s="2621" t="s">
        <v>1717</v>
      </c>
      <c r="H58" s="2694" t="s">
        <v>805</v>
      </c>
      <c r="K58" s="916" t="s">
        <v>2128</v>
      </c>
      <c r="L58" s="3321">
        <v>368304303</v>
      </c>
      <c r="M58" s="3449"/>
      <c r="O58" s="2620" t="s">
        <v>1889</v>
      </c>
      <c r="Q58" s="3139">
        <v>3344440967</v>
      </c>
      <c r="R58" s="3140"/>
      <c r="S58" s="3141"/>
      <c r="Z58" s="1773">
        <v>58</v>
      </c>
    </row>
    <row r="59" spans="1:26" s="289" customFormat="1" ht="11.25" customHeight="1">
      <c r="D59" s="326"/>
      <c r="E59" s="2621" t="s">
        <v>3615</v>
      </c>
      <c r="H59" s="3444">
        <v>3343210529</v>
      </c>
      <c r="I59" s="3445"/>
      <c r="J59" s="2756"/>
      <c r="K59" s="2629" t="s">
        <v>1894</v>
      </c>
      <c r="L59" s="3150" t="s">
        <v>6896</v>
      </c>
      <c r="M59" s="3151"/>
      <c r="N59" s="3341"/>
      <c r="O59" s="3341"/>
      <c r="P59" s="3341"/>
      <c r="Q59" s="3151"/>
      <c r="R59" s="3151"/>
      <c r="S59" s="315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8"/>
      <c r="I61" s="3381"/>
      <c r="J61" s="3381"/>
      <c r="K61" s="3381"/>
      <c r="L61" s="3381"/>
      <c r="M61" s="3381"/>
      <c r="N61" s="3382"/>
      <c r="O61" s="2620" t="s">
        <v>1899</v>
      </c>
      <c r="P61" s="2620"/>
      <c r="Q61" s="3378"/>
      <c r="R61" s="3381"/>
      <c r="S61" s="3382"/>
      <c r="Z61" s="1773">
        <v>61</v>
      </c>
    </row>
    <row r="62" spans="1:26" s="289" customFormat="1" ht="11.25" customHeight="1">
      <c r="D62" s="326"/>
      <c r="E62" s="2621" t="s">
        <v>982</v>
      </c>
      <c r="F62" s="301"/>
      <c r="H62" s="3288"/>
      <c r="I62" s="3446"/>
      <c r="J62" s="3446"/>
      <c r="K62" s="3447"/>
      <c r="L62" s="3446"/>
      <c r="M62" s="3446"/>
      <c r="N62" s="3448"/>
      <c r="O62" s="2620" t="s">
        <v>1668</v>
      </c>
      <c r="Q62" s="3153"/>
      <c r="R62" s="3267"/>
      <c r="S62" s="3268"/>
      <c r="Z62" s="1773">
        <v>62</v>
      </c>
    </row>
    <row r="63" spans="1:26" s="289" customFormat="1" ht="11.25" customHeight="1">
      <c r="D63" s="326"/>
      <c r="E63" s="2621" t="s">
        <v>588</v>
      </c>
      <c r="H63" s="3288"/>
      <c r="I63" s="3447"/>
      <c r="J63" s="3281"/>
      <c r="K63" s="2623" t="s">
        <v>2553</v>
      </c>
      <c r="L63" s="3288"/>
      <c r="M63" s="3446"/>
      <c r="N63" s="3281"/>
      <c r="O63" s="2620" t="s">
        <v>1644</v>
      </c>
      <c r="Q63" s="3139"/>
      <c r="R63" s="3140"/>
      <c r="S63" s="3141"/>
      <c r="Z63" s="1773">
        <v>63</v>
      </c>
    </row>
    <row r="64" spans="1:26" s="289" customFormat="1" ht="11.25" customHeight="1">
      <c r="E64" s="2621" t="s">
        <v>1717</v>
      </c>
      <c r="H64" s="2694"/>
      <c r="K64" s="916" t="s">
        <v>2128</v>
      </c>
      <c r="L64" s="3321"/>
      <c r="M64" s="3449"/>
      <c r="O64" s="2620" t="s">
        <v>1889</v>
      </c>
      <c r="Q64" s="3139"/>
      <c r="R64" s="3140"/>
      <c r="S64" s="3141"/>
      <c r="Z64" s="1773">
        <v>64</v>
      </c>
    </row>
    <row r="65" spans="1:26" s="289" customFormat="1" ht="11.25" customHeight="1">
      <c r="D65" s="326"/>
      <c r="E65" s="2621" t="s">
        <v>3615</v>
      </c>
      <c r="H65" s="3444"/>
      <c r="I65" s="3445"/>
      <c r="J65" s="2756"/>
      <c r="K65" s="2629" t="s">
        <v>1894</v>
      </c>
      <c r="L65" s="3150"/>
      <c r="M65" s="3151"/>
      <c r="N65" s="3341"/>
      <c r="O65" s="3341"/>
      <c r="P65" s="3341"/>
      <c r="Q65" s="3151"/>
      <c r="R65" s="3151"/>
      <c r="S65" s="315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8"/>
      <c r="I67" s="3381"/>
      <c r="J67" s="3381"/>
      <c r="K67" s="3381"/>
      <c r="L67" s="3381"/>
      <c r="M67" s="3381"/>
      <c r="N67" s="3382"/>
      <c r="O67" s="2620" t="s">
        <v>1899</v>
      </c>
      <c r="P67" s="2620"/>
      <c r="Q67" s="3378"/>
      <c r="R67" s="3381"/>
      <c r="S67" s="3382"/>
      <c r="Z67" s="1773">
        <v>67</v>
      </c>
    </row>
    <row r="68" spans="1:26" s="289" customFormat="1" ht="11.25" customHeight="1">
      <c r="D68" s="326"/>
      <c r="E68" s="2621" t="s">
        <v>982</v>
      </c>
      <c r="F68" s="301"/>
      <c r="H68" s="3288"/>
      <c r="I68" s="3446"/>
      <c r="J68" s="3446"/>
      <c r="K68" s="3447"/>
      <c r="L68" s="3446"/>
      <c r="M68" s="3446"/>
      <c r="N68" s="3448"/>
      <c r="O68" s="2620" t="s">
        <v>1668</v>
      </c>
      <c r="Q68" s="3153"/>
      <c r="R68" s="3267"/>
      <c r="S68" s="3268"/>
      <c r="Z68" s="1773">
        <v>68</v>
      </c>
    </row>
    <row r="69" spans="1:26" s="289" customFormat="1" ht="11.25" customHeight="1">
      <c r="D69" s="326"/>
      <c r="E69" s="2621" t="s">
        <v>588</v>
      </c>
      <c r="H69" s="3288"/>
      <c r="I69" s="3447"/>
      <c r="J69" s="3281"/>
      <c r="K69" s="2623" t="s">
        <v>2553</v>
      </c>
      <c r="L69" s="3288"/>
      <c r="M69" s="3446"/>
      <c r="N69" s="3281"/>
      <c r="O69" s="2620" t="s">
        <v>1644</v>
      </c>
      <c r="Q69" s="3139"/>
      <c r="R69" s="3140"/>
      <c r="S69" s="3141"/>
      <c r="Z69" s="1773">
        <v>69</v>
      </c>
    </row>
    <row r="70" spans="1:26" s="289" customFormat="1" ht="11.25" customHeight="1">
      <c r="E70" s="2621" t="s">
        <v>1717</v>
      </c>
      <c r="H70" s="2694"/>
      <c r="K70" s="916" t="s">
        <v>2128</v>
      </c>
      <c r="L70" s="3321"/>
      <c r="M70" s="3449"/>
      <c r="O70" s="2620" t="s">
        <v>1889</v>
      </c>
      <c r="Q70" s="3139"/>
      <c r="R70" s="3140"/>
      <c r="S70" s="3141"/>
      <c r="Z70" s="1773">
        <v>70</v>
      </c>
    </row>
    <row r="71" spans="1:26" s="289" customFormat="1" ht="11.25" customHeight="1">
      <c r="D71" s="326"/>
      <c r="E71" s="2621" t="s">
        <v>3615</v>
      </c>
      <c r="H71" s="3444"/>
      <c r="I71" s="3445"/>
      <c r="J71" s="2756"/>
      <c r="K71" s="2629" t="s">
        <v>1894</v>
      </c>
      <c r="L71" s="3150"/>
      <c r="M71" s="3151"/>
      <c r="N71" s="3341"/>
      <c r="O71" s="3341"/>
      <c r="P71" s="3341"/>
      <c r="Q71" s="3151"/>
      <c r="R71" s="3151"/>
      <c r="S71" s="315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8"/>
      <c r="I73" s="3381"/>
      <c r="J73" s="3381"/>
      <c r="K73" s="3381"/>
      <c r="L73" s="3381"/>
      <c r="M73" s="3381"/>
      <c r="N73" s="3382"/>
      <c r="O73" s="2620" t="s">
        <v>1899</v>
      </c>
      <c r="P73" s="2620"/>
      <c r="Q73" s="3378"/>
      <c r="R73" s="3381"/>
      <c r="S73" s="3382"/>
      <c r="Z73" s="1773">
        <v>73</v>
      </c>
    </row>
    <row r="74" spans="1:26" s="289" customFormat="1" ht="11.25" customHeight="1">
      <c r="D74" s="326"/>
      <c r="E74" s="2621" t="s">
        <v>982</v>
      </c>
      <c r="F74" s="301"/>
      <c r="H74" s="3288"/>
      <c r="I74" s="3446"/>
      <c r="J74" s="3446"/>
      <c r="K74" s="3447"/>
      <c r="L74" s="3446"/>
      <c r="M74" s="3446"/>
      <c r="N74" s="3448"/>
      <c r="O74" s="2620" t="s">
        <v>1668</v>
      </c>
      <c r="Q74" s="3153"/>
      <c r="R74" s="3267"/>
      <c r="S74" s="3268"/>
      <c r="Z74" s="1773">
        <v>74</v>
      </c>
    </row>
    <row r="75" spans="1:26" s="289" customFormat="1" ht="11.25" customHeight="1">
      <c r="D75" s="326"/>
      <c r="E75" s="2621" t="s">
        <v>588</v>
      </c>
      <c r="H75" s="3288"/>
      <c r="I75" s="3447"/>
      <c r="J75" s="3281"/>
      <c r="K75" s="2623" t="s">
        <v>2553</v>
      </c>
      <c r="L75" s="3288"/>
      <c r="M75" s="3446"/>
      <c r="N75" s="3281"/>
      <c r="O75" s="2620" t="s">
        <v>1644</v>
      </c>
      <c r="Q75" s="3139"/>
      <c r="R75" s="3140"/>
      <c r="S75" s="3141"/>
      <c r="Z75" s="1773">
        <v>75</v>
      </c>
    </row>
    <row r="76" spans="1:26" s="289" customFormat="1" ht="11.25" customHeight="1">
      <c r="E76" s="2621" t="s">
        <v>1717</v>
      </c>
      <c r="H76" s="2694"/>
      <c r="K76" s="916" t="s">
        <v>2128</v>
      </c>
      <c r="L76" s="3321"/>
      <c r="M76" s="3449"/>
      <c r="O76" s="2620" t="s">
        <v>1889</v>
      </c>
      <c r="Q76" s="3139"/>
      <c r="R76" s="3140"/>
      <c r="S76" s="3141"/>
      <c r="Z76" s="1773">
        <v>76</v>
      </c>
    </row>
    <row r="77" spans="1:26" s="289" customFormat="1" ht="11.25" customHeight="1">
      <c r="D77" s="326"/>
      <c r="E77" s="2621" t="s">
        <v>3615</v>
      </c>
      <c r="H77" s="3444"/>
      <c r="I77" s="3445"/>
      <c r="J77" s="2756"/>
      <c r="K77" s="2629" t="s">
        <v>1894</v>
      </c>
      <c r="L77" s="3150"/>
      <c r="M77" s="3151"/>
      <c r="N77" s="3341"/>
      <c r="O77" s="3341"/>
      <c r="P77" s="3341"/>
      <c r="Q77" s="3151"/>
      <c r="R77" s="3151"/>
      <c r="S77" s="315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3614</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8"/>
      <c r="I81" s="3381"/>
      <c r="J81" s="3381"/>
      <c r="K81" s="3381"/>
      <c r="L81" s="3381"/>
      <c r="M81" s="3381"/>
      <c r="N81" s="3382"/>
      <c r="O81" s="2620" t="s">
        <v>1899</v>
      </c>
      <c r="P81" s="2620"/>
      <c r="Q81" s="3378"/>
      <c r="R81" s="3381"/>
      <c r="S81" s="3382"/>
      <c r="Z81" s="1773">
        <v>81</v>
      </c>
    </row>
    <row r="82" spans="2:26" s="289" customFormat="1" ht="11.25" customHeight="1">
      <c r="D82" s="326"/>
      <c r="E82" s="2621" t="s">
        <v>982</v>
      </c>
      <c r="F82" s="301"/>
      <c r="H82" s="3288"/>
      <c r="I82" s="3446"/>
      <c r="J82" s="3446"/>
      <c r="K82" s="3447"/>
      <c r="L82" s="3446"/>
      <c r="M82" s="3446"/>
      <c r="N82" s="3448"/>
      <c r="O82" s="2620" t="s">
        <v>1668</v>
      </c>
      <c r="Q82" s="3153"/>
      <c r="R82" s="3267"/>
      <c r="S82" s="3268"/>
      <c r="Z82" s="1773">
        <v>82</v>
      </c>
    </row>
    <row r="83" spans="2:26" s="289" customFormat="1" ht="11.25" customHeight="1">
      <c r="D83" s="326"/>
      <c r="E83" s="2621" t="s">
        <v>588</v>
      </c>
      <c r="H83" s="3288"/>
      <c r="I83" s="3447"/>
      <c r="J83" s="3281"/>
      <c r="K83" s="2623" t="s">
        <v>2553</v>
      </c>
      <c r="L83" s="3288"/>
      <c r="M83" s="3446"/>
      <c r="N83" s="3281"/>
      <c r="O83" s="2620" t="s">
        <v>1644</v>
      </c>
      <c r="Q83" s="3139"/>
      <c r="R83" s="3140"/>
      <c r="S83" s="3141"/>
      <c r="Z83" s="1773">
        <v>83</v>
      </c>
    </row>
    <row r="84" spans="2:26" s="289" customFormat="1" ht="11.25" customHeight="1">
      <c r="E84" s="2621" t="s">
        <v>1717</v>
      </c>
      <c r="H84" s="2694"/>
      <c r="K84" s="916" t="s">
        <v>2128</v>
      </c>
      <c r="L84" s="3321"/>
      <c r="M84" s="3449"/>
      <c r="O84" s="2620" t="s">
        <v>1889</v>
      </c>
      <c r="Q84" s="3139"/>
      <c r="R84" s="3140"/>
      <c r="S84" s="3141"/>
      <c r="Z84" s="1773">
        <v>84</v>
      </c>
    </row>
    <row r="85" spans="2:26" s="289" customFormat="1" ht="11.25" customHeight="1">
      <c r="D85" s="326"/>
      <c r="E85" s="2621" t="s">
        <v>3615</v>
      </c>
      <c r="H85" s="3444"/>
      <c r="I85" s="3445"/>
      <c r="J85" s="2756"/>
      <c r="K85" s="2629" t="s">
        <v>1894</v>
      </c>
      <c r="L85" s="3150"/>
      <c r="M85" s="3151"/>
      <c r="N85" s="3341"/>
      <c r="O85" s="3341"/>
      <c r="P85" s="3341"/>
      <c r="Q85" s="3151"/>
      <c r="R85" s="3151"/>
      <c r="S85" s="315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8" t="s">
        <v>6898</v>
      </c>
      <c r="I87" s="3381"/>
      <c r="J87" s="3381"/>
      <c r="K87" s="3381"/>
      <c r="L87" s="3381"/>
      <c r="M87" s="3381"/>
      <c r="N87" s="3382"/>
      <c r="O87" s="2620" t="s">
        <v>1899</v>
      </c>
      <c r="P87" s="2620"/>
      <c r="Q87" s="3378" t="s">
        <v>6948</v>
      </c>
      <c r="R87" s="3381"/>
      <c r="S87" s="3382"/>
      <c r="Z87" s="1773">
        <v>87</v>
      </c>
    </row>
    <row r="88" spans="2:26" s="289" customFormat="1" ht="11.25" customHeight="1">
      <c r="D88" s="326"/>
      <c r="E88" s="2621" t="s">
        <v>982</v>
      </c>
      <c r="F88" s="301"/>
      <c r="H88" s="3288" t="s">
        <v>6894</v>
      </c>
      <c r="I88" s="3446"/>
      <c r="J88" s="3446"/>
      <c r="K88" s="3447"/>
      <c r="L88" s="3446"/>
      <c r="M88" s="3446"/>
      <c r="N88" s="3448"/>
      <c r="O88" s="2620" t="s">
        <v>1668</v>
      </c>
      <c r="Q88" s="3153" t="s">
        <v>6949</v>
      </c>
      <c r="R88" s="3267"/>
      <c r="S88" s="3268"/>
      <c r="Z88" s="1773">
        <v>88</v>
      </c>
    </row>
    <row r="89" spans="2:26" s="289" customFormat="1" ht="11.25" customHeight="1">
      <c r="D89" s="326"/>
      <c r="E89" s="2621" t="s">
        <v>588</v>
      </c>
      <c r="H89" s="3288" t="s">
        <v>2410</v>
      </c>
      <c r="I89" s="3447"/>
      <c r="J89" s="3281"/>
      <c r="K89" s="2623" t="s">
        <v>2553</v>
      </c>
      <c r="L89" s="3288" t="s">
        <v>6899</v>
      </c>
      <c r="M89" s="3446"/>
      <c r="N89" s="3281"/>
      <c r="O89" s="2620" t="s">
        <v>1644</v>
      </c>
      <c r="Q89" s="3139">
        <v>5734432021</v>
      </c>
      <c r="R89" s="3140"/>
      <c r="S89" s="3141"/>
      <c r="Z89" s="1773">
        <v>89</v>
      </c>
    </row>
    <row r="90" spans="2:26" s="289" customFormat="1" ht="11.25" customHeight="1">
      <c r="E90" s="2621" t="s">
        <v>1717</v>
      </c>
      <c r="H90" s="2694" t="s">
        <v>1292</v>
      </c>
      <c r="K90" s="916" t="s">
        <v>2128</v>
      </c>
      <c r="L90" s="3321">
        <v>652034905</v>
      </c>
      <c r="M90" s="3449"/>
      <c r="O90" s="2620" t="s">
        <v>1889</v>
      </c>
      <c r="Q90" s="3139"/>
      <c r="R90" s="3140"/>
      <c r="S90" s="3141"/>
      <c r="Z90" s="1773">
        <v>90</v>
      </c>
    </row>
    <row r="91" spans="2:26" s="289" customFormat="1" ht="11.25" customHeight="1">
      <c r="D91" s="326"/>
      <c r="E91" s="2621" t="s">
        <v>3615</v>
      </c>
      <c r="H91" s="3444">
        <v>5734432021</v>
      </c>
      <c r="I91" s="3445"/>
      <c r="J91" s="2756"/>
      <c r="K91" s="2629" t="s">
        <v>1894</v>
      </c>
      <c r="L91" s="3150" t="s">
        <v>6950</v>
      </c>
      <c r="M91" s="3151"/>
      <c r="N91" s="3341"/>
      <c r="O91" s="3341"/>
      <c r="P91" s="3341"/>
      <c r="Q91" s="3151"/>
      <c r="R91" s="3151"/>
      <c r="S91" s="315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8" t="s">
        <v>6885</v>
      </c>
      <c r="I93" s="3381"/>
      <c r="J93" s="3381"/>
      <c r="K93" s="3381"/>
      <c r="L93" s="3381"/>
      <c r="M93" s="3381"/>
      <c r="N93" s="3382"/>
      <c r="O93" s="2620" t="s">
        <v>1899</v>
      </c>
      <c r="P93" s="2620"/>
      <c r="Q93" s="3378" t="s">
        <v>6946</v>
      </c>
      <c r="R93" s="3381"/>
      <c r="S93" s="3382"/>
      <c r="Z93" s="1773">
        <v>93</v>
      </c>
    </row>
    <row r="94" spans="2:26" s="289" customFormat="1" ht="11.25" customHeight="1">
      <c r="D94" s="326"/>
      <c r="E94" s="2621" t="s">
        <v>982</v>
      </c>
      <c r="F94" s="301"/>
      <c r="H94" s="3288" t="s">
        <v>6886</v>
      </c>
      <c r="I94" s="3446"/>
      <c r="J94" s="3446"/>
      <c r="K94" s="3447"/>
      <c r="L94" s="3446"/>
      <c r="M94" s="3446"/>
      <c r="N94" s="3448"/>
      <c r="O94" s="2620" t="s">
        <v>1668</v>
      </c>
      <c r="Q94" s="3153" t="s">
        <v>6855</v>
      </c>
      <c r="R94" s="3267"/>
      <c r="S94" s="3268"/>
      <c r="Z94" s="1773">
        <v>94</v>
      </c>
    </row>
    <row r="95" spans="2:26" s="289" customFormat="1" ht="11.25" customHeight="1">
      <c r="D95" s="326"/>
      <c r="E95" s="2621" t="s">
        <v>588</v>
      </c>
      <c r="H95" s="3288" t="s">
        <v>1159</v>
      </c>
      <c r="I95" s="3447"/>
      <c r="J95" s="3281"/>
      <c r="K95" s="2623" t="s">
        <v>2553</v>
      </c>
      <c r="L95" s="3288" t="s">
        <v>6884</v>
      </c>
      <c r="M95" s="3446"/>
      <c r="N95" s="3281"/>
      <c r="O95" s="2620" t="s">
        <v>1644</v>
      </c>
      <c r="Q95" s="3139">
        <v>5734432021</v>
      </c>
      <c r="R95" s="3140"/>
      <c r="S95" s="3141"/>
      <c r="Z95" s="1773">
        <v>95</v>
      </c>
    </row>
    <row r="96" spans="2:26" s="289" customFormat="1" ht="11.25" customHeight="1">
      <c r="D96" s="326"/>
      <c r="E96" s="2621" t="s">
        <v>1717</v>
      </c>
      <c r="H96" s="2694" t="s">
        <v>815</v>
      </c>
      <c r="K96" s="916" t="s">
        <v>2128</v>
      </c>
      <c r="L96" s="3321">
        <v>303272122</v>
      </c>
      <c r="M96" s="3449"/>
      <c r="O96" s="2620" t="s">
        <v>1889</v>
      </c>
      <c r="Q96" s="3139"/>
      <c r="R96" s="3140"/>
      <c r="S96" s="3141"/>
      <c r="Z96" s="1773">
        <v>96</v>
      </c>
    </row>
    <row r="97" spans="2:26" s="289" customFormat="1" ht="11.25" customHeight="1">
      <c r="D97" s="326"/>
      <c r="E97" s="2621" t="s">
        <v>3615</v>
      </c>
      <c r="H97" s="3444">
        <v>5734432021</v>
      </c>
      <c r="I97" s="3445"/>
      <c r="J97" s="2756"/>
      <c r="K97" s="2629" t="s">
        <v>1894</v>
      </c>
      <c r="L97" s="3150" t="s">
        <v>6947</v>
      </c>
      <c r="M97" s="3151"/>
      <c r="N97" s="3341"/>
      <c r="O97" s="3341"/>
      <c r="P97" s="3341"/>
      <c r="Q97" s="3151"/>
      <c r="R97" s="3151"/>
      <c r="S97" s="315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8" t="s">
        <v>6901</v>
      </c>
      <c r="I99" s="3381"/>
      <c r="J99" s="3381"/>
      <c r="K99" s="3381"/>
      <c r="L99" s="3381"/>
      <c r="M99" s="3381"/>
      <c r="N99" s="3382"/>
      <c r="O99" s="2620" t="s">
        <v>1899</v>
      </c>
      <c r="P99" s="2620"/>
      <c r="Q99" s="3378" t="s">
        <v>6900</v>
      </c>
      <c r="R99" s="3381"/>
      <c r="S99" s="3382"/>
      <c r="Z99" s="1773">
        <v>99</v>
      </c>
    </row>
    <row r="100" spans="2:26" s="289" customFormat="1" ht="11.25" customHeight="1">
      <c r="D100" s="326"/>
      <c r="E100" s="2621" t="s">
        <v>982</v>
      </c>
      <c r="F100" s="301"/>
      <c r="H100" s="3288" t="s">
        <v>6902</v>
      </c>
      <c r="I100" s="3446"/>
      <c r="J100" s="3446"/>
      <c r="K100" s="3447"/>
      <c r="L100" s="3446"/>
      <c r="M100" s="3446"/>
      <c r="N100" s="3448"/>
      <c r="O100" s="2620" t="s">
        <v>1668</v>
      </c>
      <c r="Q100" s="3153" t="s">
        <v>6905</v>
      </c>
      <c r="R100" s="3267"/>
      <c r="S100" s="3268"/>
      <c r="Z100" s="1773">
        <v>100</v>
      </c>
    </row>
    <row r="101" spans="2:26" s="289" customFormat="1" ht="11.25" customHeight="1">
      <c r="D101" s="326"/>
      <c r="E101" s="2621" t="s">
        <v>588</v>
      </c>
      <c r="H101" s="3288" t="s">
        <v>6903</v>
      </c>
      <c r="I101" s="3447"/>
      <c r="J101" s="3281"/>
      <c r="K101" s="2623" t="s">
        <v>2553</v>
      </c>
      <c r="L101" s="3288"/>
      <c r="M101" s="3446"/>
      <c r="N101" s="3281"/>
      <c r="O101" s="2620" t="s">
        <v>1644</v>
      </c>
      <c r="Q101" s="3139">
        <v>2055218501</v>
      </c>
      <c r="R101" s="3140"/>
      <c r="S101" s="3141"/>
      <c r="Z101" s="1773">
        <v>101</v>
      </c>
    </row>
    <row r="102" spans="2:26" s="289" customFormat="1" ht="11.25" customHeight="1">
      <c r="D102" s="326"/>
      <c r="E102" s="2621" t="s">
        <v>1717</v>
      </c>
      <c r="H102" s="2694" t="s">
        <v>805</v>
      </c>
      <c r="K102" s="916" t="s">
        <v>2128</v>
      </c>
      <c r="L102" s="3321">
        <v>352030000</v>
      </c>
      <c r="M102" s="3449"/>
      <c r="O102" s="2620" t="s">
        <v>1889</v>
      </c>
      <c r="Q102" s="3139"/>
      <c r="R102" s="3140"/>
      <c r="S102" s="3141"/>
      <c r="Z102" s="1773">
        <v>102</v>
      </c>
    </row>
    <row r="103" spans="2:26" ht="11.25" customHeight="1">
      <c r="E103" s="2621" t="s">
        <v>3615</v>
      </c>
      <c r="F103" s="289"/>
      <c r="G103" s="289"/>
      <c r="H103" s="3444">
        <v>2055669976</v>
      </c>
      <c r="I103" s="3445"/>
      <c r="J103" s="2756"/>
      <c r="K103" s="2629" t="s">
        <v>1894</v>
      </c>
      <c r="L103" s="3150" t="s">
        <v>6904</v>
      </c>
      <c r="M103" s="3151"/>
      <c r="N103" s="3341"/>
      <c r="O103" s="3341"/>
      <c r="P103" s="3341"/>
      <c r="Q103" s="3151"/>
      <c r="R103" s="3151"/>
      <c r="S103" s="315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8" t="s">
        <v>6986</v>
      </c>
      <c r="I105" s="3381"/>
      <c r="J105" s="3381"/>
      <c r="K105" s="3381"/>
      <c r="L105" s="3381"/>
      <c r="M105" s="3381"/>
      <c r="N105" s="3382"/>
      <c r="O105" s="2620" t="s">
        <v>1899</v>
      </c>
      <c r="P105" s="2620"/>
      <c r="Q105" s="3378" t="s">
        <v>6986</v>
      </c>
      <c r="R105" s="3381"/>
      <c r="S105" s="3382"/>
      <c r="Z105" s="1773">
        <v>105</v>
      </c>
    </row>
    <row r="106" spans="2:26" s="289" customFormat="1" ht="11.25" customHeight="1">
      <c r="D106" s="326"/>
      <c r="E106" s="2621" t="s">
        <v>982</v>
      </c>
      <c r="F106" s="301"/>
      <c r="H106" s="3288" t="s">
        <v>6987</v>
      </c>
      <c r="I106" s="3446"/>
      <c r="J106" s="3446"/>
      <c r="K106" s="3447"/>
      <c r="L106" s="3446"/>
      <c r="M106" s="3446"/>
      <c r="N106" s="3448"/>
      <c r="O106" s="2620" t="s">
        <v>1668</v>
      </c>
      <c r="Q106" s="3153" t="s">
        <v>6861</v>
      </c>
      <c r="R106" s="3267"/>
      <c r="S106" s="3268"/>
      <c r="Z106" s="1773">
        <v>106</v>
      </c>
    </row>
    <row r="107" spans="2:26" s="289" customFormat="1" ht="11.25" customHeight="1">
      <c r="D107" s="326"/>
      <c r="E107" s="2621" t="s">
        <v>588</v>
      </c>
      <c r="H107" s="3288" t="s">
        <v>6903</v>
      </c>
      <c r="I107" s="3447"/>
      <c r="J107" s="3281"/>
      <c r="K107" s="2623" t="s">
        <v>2553</v>
      </c>
      <c r="L107" s="3288"/>
      <c r="M107" s="3446"/>
      <c r="N107" s="3281"/>
      <c r="O107" s="2620" t="s">
        <v>1644</v>
      </c>
      <c r="Q107" s="3139">
        <v>2058221010</v>
      </c>
      <c r="R107" s="3140"/>
      <c r="S107" s="3141"/>
      <c r="Z107" s="1773">
        <v>107</v>
      </c>
    </row>
    <row r="108" spans="2:26" s="289" customFormat="1" ht="11.25" customHeight="1">
      <c r="D108" s="326"/>
      <c r="E108" s="2621" t="s">
        <v>1717</v>
      </c>
      <c r="H108" s="2694" t="s">
        <v>805</v>
      </c>
      <c r="K108" s="916" t="s">
        <v>2128</v>
      </c>
      <c r="L108" s="3321">
        <v>352030000</v>
      </c>
      <c r="M108" s="3449"/>
      <c r="O108" s="2620" t="s">
        <v>1889</v>
      </c>
      <c r="Q108" s="3139"/>
      <c r="R108" s="3140"/>
      <c r="S108" s="3141"/>
      <c r="Z108" s="1773">
        <v>108</v>
      </c>
    </row>
    <row r="109" spans="2:26" ht="11.25" customHeight="1">
      <c r="E109" s="2621" t="s">
        <v>3615</v>
      </c>
      <c r="F109" s="289"/>
      <c r="G109" s="289"/>
      <c r="H109" s="3444">
        <v>2058221010</v>
      </c>
      <c r="I109" s="3445"/>
      <c r="J109" s="2756"/>
      <c r="K109" s="2629" t="s">
        <v>1894</v>
      </c>
      <c r="L109" s="3150" t="s">
        <v>6988</v>
      </c>
      <c r="M109" s="3151"/>
      <c r="N109" s="3341"/>
      <c r="O109" s="3341"/>
      <c r="P109" s="3341"/>
      <c r="Q109" s="3151"/>
      <c r="R109" s="3151"/>
      <c r="S109" s="315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8" t="s">
        <v>6907</v>
      </c>
      <c r="I111" s="3381"/>
      <c r="J111" s="3381"/>
      <c r="K111" s="3381"/>
      <c r="L111" s="3381"/>
      <c r="M111" s="3381"/>
      <c r="N111" s="3382"/>
      <c r="O111" s="2620" t="s">
        <v>1899</v>
      </c>
      <c r="P111" s="2620"/>
      <c r="Q111" s="3378" t="s">
        <v>6909</v>
      </c>
      <c r="R111" s="3381"/>
      <c r="S111" s="3382"/>
      <c r="Z111" s="1773">
        <v>111</v>
      </c>
    </row>
    <row r="112" spans="2:26" s="289" customFormat="1" ht="11.25" customHeight="1">
      <c r="D112" s="326"/>
      <c r="E112" s="2621" t="s">
        <v>982</v>
      </c>
      <c r="F112" s="301"/>
      <c r="H112" s="3288" t="s">
        <v>6906</v>
      </c>
      <c r="I112" s="3446"/>
      <c r="J112" s="3446"/>
      <c r="K112" s="3447"/>
      <c r="L112" s="3446"/>
      <c r="M112" s="3446"/>
      <c r="N112" s="3448"/>
      <c r="O112" s="2620" t="s">
        <v>1668</v>
      </c>
      <c r="Q112" s="3153" t="s">
        <v>6910</v>
      </c>
      <c r="R112" s="3267"/>
      <c r="S112" s="3268"/>
      <c r="Z112" s="1773">
        <v>112</v>
      </c>
    </row>
    <row r="113" spans="1:26" s="289" customFormat="1" ht="11.25" customHeight="1">
      <c r="D113" s="326"/>
      <c r="E113" s="2621" t="s">
        <v>588</v>
      </c>
      <c r="H113" s="3288" t="s">
        <v>176</v>
      </c>
      <c r="I113" s="3447"/>
      <c r="J113" s="3281"/>
      <c r="K113" s="2623" t="s">
        <v>2553</v>
      </c>
      <c r="L113" s="3288"/>
      <c r="M113" s="3446"/>
      <c r="N113" s="3281"/>
      <c r="O113" s="2620" t="s">
        <v>1644</v>
      </c>
      <c r="Q113" s="3139">
        <v>3342724044</v>
      </c>
      <c r="R113" s="3140"/>
      <c r="S113" s="3141"/>
      <c r="Z113" s="1773">
        <v>113</v>
      </c>
    </row>
    <row r="114" spans="1:26" s="289" customFormat="1" ht="11.25" customHeight="1">
      <c r="D114" s="330"/>
      <c r="E114" s="2621" t="s">
        <v>1717</v>
      </c>
      <c r="H114" s="2694" t="s">
        <v>805</v>
      </c>
      <c r="K114" s="916" t="s">
        <v>2128</v>
      </c>
      <c r="L114" s="3321">
        <v>361177026</v>
      </c>
      <c r="M114" s="3449"/>
      <c r="O114" s="2620" t="s">
        <v>1889</v>
      </c>
      <c r="Q114" s="3139"/>
      <c r="R114" s="3140"/>
      <c r="S114" s="3141"/>
      <c r="Z114" s="1773">
        <v>114</v>
      </c>
    </row>
    <row r="115" spans="1:26" s="289" customFormat="1" ht="11.25" customHeight="1">
      <c r="D115" s="330"/>
      <c r="E115" s="2621" t="s">
        <v>3615</v>
      </c>
      <c r="H115" s="3444">
        <v>3342724044</v>
      </c>
      <c r="I115" s="3445"/>
      <c r="J115" s="2756"/>
      <c r="K115" s="2629" t="s">
        <v>1894</v>
      </c>
      <c r="L115" s="3150" t="s">
        <v>6908</v>
      </c>
      <c r="M115" s="3151"/>
      <c r="N115" s="3341"/>
      <c r="O115" s="3341"/>
      <c r="P115" s="3341"/>
      <c r="Q115" s="3151"/>
      <c r="R115" s="3151"/>
      <c r="S115" s="315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6486</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6780</v>
      </c>
      <c r="H120" s="3378" t="s">
        <v>6911</v>
      </c>
      <c r="I120" s="3379"/>
      <c r="J120" s="3380"/>
      <c r="K120" s="2629" t="s">
        <v>1716</v>
      </c>
      <c r="L120" s="3378" t="s">
        <v>6912</v>
      </c>
      <c r="M120" s="3381"/>
      <c r="N120" s="3382"/>
      <c r="O120" s="2621" t="s">
        <v>3262</v>
      </c>
      <c r="Q120" s="3383"/>
      <c r="R120" s="3384"/>
      <c r="S120" s="3385"/>
      <c r="Z120" s="1773">
        <v>120</v>
      </c>
    </row>
    <row r="121" spans="1:26" s="289" customFormat="1" ht="11.25" customHeight="1">
      <c r="C121" s="291"/>
      <c r="D121" s="326"/>
      <c r="E121" s="2621" t="s">
        <v>6487</v>
      </c>
      <c r="F121" s="301"/>
      <c r="H121" s="3269" t="s">
        <v>6913</v>
      </c>
      <c r="I121" s="3374"/>
      <c r="J121" s="3375"/>
      <c r="K121" s="3270"/>
      <c r="L121" s="3374"/>
      <c r="M121" s="3374"/>
      <c r="N121" s="3376"/>
      <c r="O121" s="2621" t="s">
        <v>588</v>
      </c>
      <c r="Q121" s="3377" t="s">
        <v>344</v>
      </c>
      <c r="R121" s="3273"/>
      <c r="S121" s="3274"/>
      <c r="Z121" s="1773">
        <v>121</v>
      </c>
    </row>
    <row r="122" spans="1:26" s="289" customFormat="1" ht="11.25" customHeight="1">
      <c r="C122" s="291"/>
      <c r="D122" s="326"/>
      <c r="E122" s="2621" t="s">
        <v>1717</v>
      </c>
      <c r="H122" s="2761" t="s">
        <v>815</v>
      </c>
      <c r="I122" s="916" t="s">
        <v>2128</v>
      </c>
      <c r="J122" s="3280">
        <v>310080000</v>
      </c>
      <c r="K122" s="3281"/>
      <c r="L122" s="2629" t="s">
        <v>1894</v>
      </c>
      <c r="M122" s="3279" t="s">
        <v>6982</v>
      </c>
      <c r="N122" s="3341"/>
      <c r="O122" s="3341"/>
      <c r="P122" s="3341"/>
      <c r="Q122" s="3151"/>
      <c r="R122" s="3151"/>
      <c r="S122" s="3152"/>
      <c r="Z122" s="1773">
        <v>122</v>
      </c>
    </row>
    <row r="123" spans="1:26" ht="2.25" customHeight="1">
      <c r="C123" s="315"/>
      <c r="Z123" s="1773">
        <v>123</v>
      </c>
    </row>
    <row r="124" spans="1:26" s="289" customFormat="1" ht="11.25" hidden="1" customHeight="1">
      <c r="C124" s="1750"/>
      <c r="D124" s="289" t="s">
        <v>6781</v>
      </c>
      <c r="H124" s="3378"/>
      <c r="I124" s="3379"/>
      <c r="J124" s="3380"/>
      <c r="K124" s="2629" t="s">
        <v>1716</v>
      </c>
      <c r="L124" s="3378"/>
      <c r="M124" s="3381"/>
      <c r="N124" s="3382"/>
      <c r="O124" s="2621" t="s">
        <v>3262</v>
      </c>
      <c r="Q124" s="3383"/>
      <c r="R124" s="3384"/>
      <c r="S124" s="3385"/>
      <c r="Z124" s="1773">
        <v>124</v>
      </c>
    </row>
    <row r="125" spans="1:26" s="289" customFormat="1" ht="11.25" hidden="1" customHeight="1">
      <c r="C125" s="291"/>
      <c r="D125" s="326"/>
      <c r="E125" s="2621" t="s">
        <v>6487</v>
      </c>
      <c r="F125" s="301"/>
      <c r="H125" s="3269"/>
      <c r="I125" s="3374"/>
      <c r="J125" s="3375"/>
      <c r="K125" s="3270"/>
      <c r="L125" s="3374"/>
      <c r="M125" s="3374"/>
      <c r="N125" s="3376"/>
      <c r="O125" s="2621" t="s">
        <v>588</v>
      </c>
      <c r="Q125" s="3377"/>
      <c r="R125" s="3273"/>
      <c r="S125" s="3274"/>
      <c r="Z125" s="1773">
        <v>125</v>
      </c>
    </row>
    <row r="126" spans="1:26" s="289" customFormat="1" ht="11.25" hidden="1" customHeight="1">
      <c r="C126" s="291"/>
      <c r="D126" s="326"/>
      <c r="E126" s="2621" t="s">
        <v>1717</v>
      </c>
      <c r="H126" s="2761"/>
      <c r="I126" s="916" t="s">
        <v>2128</v>
      </c>
      <c r="J126" s="3280"/>
      <c r="K126" s="3281"/>
      <c r="L126" s="2629" t="s">
        <v>1894</v>
      </c>
      <c r="M126" s="3279"/>
      <c r="N126" s="3341"/>
      <c r="O126" s="3341"/>
      <c r="P126" s="3341"/>
      <c r="Q126" s="3151"/>
      <c r="R126" s="3151"/>
      <c r="S126" s="3152"/>
      <c r="Z126" s="1773">
        <v>126</v>
      </c>
    </row>
    <row r="127" spans="1:26" ht="2.25" hidden="1" customHeight="1">
      <c r="C127" s="315"/>
      <c r="Z127" s="1773">
        <v>127</v>
      </c>
    </row>
    <row r="128" spans="1:26" s="289" customFormat="1" ht="11.25" hidden="1" customHeight="1">
      <c r="C128" s="1750"/>
      <c r="D128" s="289" t="s">
        <v>6613</v>
      </c>
      <c r="H128" s="3378"/>
      <c r="I128" s="3379"/>
      <c r="J128" s="3380"/>
      <c r="K128" s="2629" t="s">
        <v>1716</v>
      </c>
      <c r="L128" s="3378"/>
      <c r="M128" s="3381"/>
      <c r="N128" s="3382"/>
      <c r="O128" s="2621" t="s">
        <v>3262</v>
      </c>
      <c r="Q128" s="3383"/>
      <c r="R128" s="3384"/>
      <c r="S128" s="3385"/>
      <c r="Z128" s="1773">
        <v>128</v>
      </c>
    </row>
    <row r="129" spans="3:26" s="289" customFormat="1" ht="11.25" hidden="1" customHeight="1">
      <c r="C129" s="291"/>
      <c r="D129" s="326"/>
      <c r="E129" s="2621" t="s">
        <v>6487</v>
      </c>
      <c r="F129" s="301"/>
      <c r="H129" s="3269"/>
      <c r="I129" s="3374"/>
      <c r="J129" s="3375"/>
      <c r="K129" s="3270"/>
      <c r="L129" s="3374"/>
      <c r="M129" s="3374"/>
      <c r="N129" s="3376"/>
      <c r="O129" s="2621" t="s">
        <v>588</v>
      </c>
      <c r="Q129" s="3377"/>
      <c r="R129" s="3273"/>
      <c r="S129" s="3274"/>
      <c r="Z129" s="1773">
        <v>129</v>
      </c>
    </row>
    <row r="130" spans="3:26" s="289" customFormat="1" ht="11.25" hidden="1" customHeight="1">
      <c r="C130" s="291"/>
      <c r="D130" s="326"/>
      <c r="E130" s="2621" t="s">
        <v>1717</v>
      </c>
      <c r="H130" s="2761"/>
      <c r="I130" s="916" t="s">
        <v>2128</v>
      </c>
      <c r="J130" s="3280"/>
      <c r="K130" s="3281"/>
      <c r="L130" s="2629" t="s">
        <v>1894</v>
      </c>
      <c r="M130" s="3279"/>
      <c r="N130" s="3341"/>
      <c r="O130" s="3341"/>
      <c r="P130" s="3341"/>
      <c r="Q130" s="3151"/>
      <c r="R130" s="3151"/>
      <c r="S130" s="3152"/>
      <c r="Z130" s="1773">
        <v>130</v>
      </c>
    </row>
    <row r="131" spans="3:26" ht="2.25" hidden="1" customHeight="1">
      <c r="C131" s="315"/>
      <c r="Z131" s="1773">
        <v>131</v>
      </c>
    </row>
    <row r="132" spans="3:26" s="289" customFormat="1" ht="11.25" hidden="1" customHeight="1">
      <c r="C132" s="1750"/>
      <c r="D132" s="289" t="s">
        <v>6791</v>
      </c>
      <c r="H132" s="3378"/>
      <c r="I132" s="3379"/>
      <c r="J132" s="3380"/>
      <c r="K132" s="2629" t="s">
        <v>1716</v>
      </c>
      <c r="L132" s="3378"/>
      <c r="M132" s="3381"/>
      <c r="N132" s="3382"/>
      <c r="O132" s="2621" t="s">
        <v>3262</v>
      </c>
      <c r="Q132" s="3383"/>
      <c r="R132" s="3384"/>
      <c r="S132" s="3385"/>
      <c r="Z132" s="1773">
        <v>132</v>
      </c>
    </row>
    <row r="133" spans="3:26" s="289" customFormat="1" ht="11.25" hidden="1" customHeight="1">
      <c r="C133" s="291"/>
      <c r="D133" s="326"/>
      <c r="E133" s="2621" t="s">
        <v>6487</v>
      </c>
      <c r="F133" s="301"/>
      <c r="H133" s="3269"/>
      <c r="I133" s="3374"/>
      <c r="J133" s="3375"/>
      <c r="K133" s="3270"/>
      <c r="L133" s="3374"/>
      <c r="M133" s="3374"/>
      <c r="N133" s="3376"/>
      <c r="O133" s="2621" t="s">
        <v>588</v>
      </c>
      <c r="Q133" s="3377"/>
      <c r="R133" s="3273"/>
      <c r="S133" s="3274"/>
      <c r="Z133" s="1773">
        <v>133</v>
      </c>
    </row>
    <row r="134" spans="3:26" s="289" customFormat="1" ht="11.25" hidden="1" customHeight="1">
      <c r="C134" s="291"/>
      <c r="D134" s="326"/>
      <c r="E134" s="2621" t="s">
        <v>1717</v>
      </c>
      <c r="H134" s="2761"/>
      <c r="I134" s="916" t="s">
        <v>2128</v>
      </c>
      <c r="J134" s="3280"/>
      <c r="K134" s="3281"/>
      <c r="L134" s="2629" t="s">
        <v>1894</v>
      </c>
      <c r="M134" s="3279"/>
      <c r="N134" s="3341"/>
      <c r="O134" s="3341"/>
      <c r="P134" s="3341"/>
      <c r="Q134" s="3151"/>
      <c r="R134" s="3151"/>
      <c r="S134" s="3152"/>
      <c r="Z134" s="1773">
        <v>134</v>
      </c>
    </row>
    <row r="135" spans="3:26" ht="2.25" hidden="1" customHeight="1">
      <c r="C135" s="315"/>
      <c r="Z135" s="1773">
        <v>135</v>
      </c>
    </row>
    <row r="136" spans="3:26" s="289" customFormat="1" ht="11.25" hidden="1" customHeight="1">
      <c r="C136" s="1750"/>
      <c r="D136" s="289" t="s">
        <v>6792</v>
      </c>
      <c r="H136" s="3378"/>
      <c r="I136" s="3379"/>
      <c r="J136" s="3380"/>
      <c r="K136" s="2629" t="s">
        <v>1716</v>
      </c>
      <c r="L136" s="3378"/>
      <c r="M136" s="3381"/>
      <c r="N136" s="3382"/>
      <c r="O136" s="2621" t="s">
        <v>3262</v>
      </c>
      <c r="Q136" s="3383"/>
      <c r="R136" s="3384"/>
      <c r="S136" s="3385"/>
      <c r="Z136" s="1773">
        <v>136</v>
      </c>
    </row>
    <row r="137" spans="3:26" s="289" customFormat="1" ht="11.25" hidden="1" customHeight="1">
      <c r="C137" s="291"/>
      <c r="D137" s="326"/>
      <c r="E137" s="2621" t="s">
        <v>6487</v>
      </c>
      <c r="F137" s="301"/>
      <c r="H137" s="3269"/>
      <c r="I137" s="3374"/>
      <c r="J137" s="3375"/>
      <c r="K137" s="3270"/>
      <c r="L137" s="3374"/>
      <c r="M137" s="3374"/>
      <c r="N137" s="3376"/>
      <c r="O137" s="2621" t="s">
        <v>588</v>
      </c>
      <c r="Q137" s="3377"/>
      <c r="R137" s="3273"/>
      <c r="S137" s="3274"/>
      <c r="Z137" s="1773">
        <v>137</v>
      </c>
    </row>
    <row r="138" spans="3:26" s="289" customFormat="1" ht="11.25" hidden="1" customHeight="1">
      <c r="C138" s="291"/>
      <c r="D138" s="326"/>
      <c r="E138" s="2621" t="s">
        <v>1717</v>
      </c>
      <c r="H138" s="2761"/>
      <c r="I138" s="916" t="s">
        <v>2128</v>
      </c>
      <c r="J138" s="3280"/>
      <c r="K138" s="3281"/>
      <c r="L138" s="2629" t="s">
        <v>1894</v>
      </c>
      <c r="M138" s="3279"/>
      <c r="N138" s="3341"/>
      <c r="O138" s="3341"/>
      <c r="P138" s="3341"/>
      <c r="Q138" s="3151"/>
      <c r="R138" s="3151"/>
      <c r="S138" s="3152"/>
      <c r="Z138" s="1773">
        <v>138</v>
      </c>
    </row>
    <row r="139" spans="3:26" ht="2.25" hidden="1" customHeight="1">
      <c r="C139" s="315"/>
      <c r="Z139" s="1773">
        <v>139</v>
      </c>
    </row>
    <row r="140" spans="3:26" s="289" customFormat="1" ht="11.25" hidden="1" customHeight="1">
      <c r="C140" s="1750"/>
      <c r="D140" s="289" t="s">
        <v>6793</v>
      </c>
      <c r="H140" s="3378"/>
      <c r="I140" s="3379"/>
      <c r="J140" s="3380"/>
      <c r="K140" s="2629" t="s">
        <v>1716</v>
      </c>
      <c r="L140" s="3378"/>
      <c r="M140" s="3381"/>
      <c r="N140" s="3382"/>
      <c r="O140" s="2621" t="s">
        <v>3262</v>
      </c>
      <c r="Q140" s="3383"/>
      <c r="R140" s="3384"/>
      <c r="S140" s="3385"/>
      <c r="Z140" s="1773">
        <v>140</v>
      </c>
    </row>
    <row r="141" spans="3:26" s="289" customFormat="1" ht="11.25" hidden="1" customHeight="1">
      <c r="C141" s="291"/>
      <c r="D141" s="326"/>
      <c r="E141" s="2621" t="s">
        <v>6487</v>
      </c>
      <c r="F141" s="301"/>
      <c r="H141" s="3269"/>
      <c r="I141" s="3374"/>
      <c r="J141" s="3375"/>
      <c r="K141" s="3270"/>
      <c r="L141" s="3374"/>
      <c r="M141" s="3374"/>
      <c r="N141" s="3376"/>
      <c r="O141" s="2621" t="s">
        <v>588</v>
      </c>
      <c r="Q141" s="3377"/>
      <c r="R141" s="3273"/>
      <c r="S141" s="3274"/>
      <c r="Z141" s="1773">
        <v>141</v>
      </c>
    </row>
    <row r="142" spans="3:26" s="289" customFormat="1" ht="11.25" hidden="1" customHeight="1">
      <c r="C142" s="291"/>
      <c r="D142" s="326"/>
      <c r="E142" s="2621" t="s">
        <v>1717</v>
      </c>
      <c r="H142" s="2761"/>
      <c r="I142" s="916" t="s">
        <v>2128</v>
      </c>
      <c r="J142" s="3280"/>
      <c r="K142" s="3281"/>
      <c r="L142" s="2629" t="s">
        <v>1894</v>
      </c>
      <c r="M142" s="3279"/>
      <c r="N142" s="3341"/>
      <c r="O142" s="3341"/>
      <c r="P142" s="3341"/>
      <c r="Q142" s="3151"/>
      <c r="R142" s="3151"/>
      <c r="S142" s="3152"/>
      <c r="Z142" s="1773">
        <v>142</v>
      </c>
    </row>
    <row r="143" spans="3:26" ht="2.25" hidden="1" customHeight="1">
      <c r="C143" s="315"/>
      <c r="Z143" s="1773">
        <v>143</v>
      </c>
    </row>
    <row r="144" spans="3:26" s="289" customFormat="1" ht="11.25" customHeight="1">
      <c r="C144" s="1750" t="s">
        <v>1898</v>
      </c>
      <c r="D144" s="289" t="s">
        <v>6778</v>
      </c>
      <c r="H144" s="3378"/>
      <c r="I144" s="3379"/>
      <c r="J144" s="3380"/>
      <c r="K144" s="2629" t="s">
        <v>1716</v>
      </c>
      <c r="L144" s="3378"/>
      <c r="M144" s="3381"/>
      <c r="N144" s="3382"/>
      <c r="O144" s="2621" t="s">
        <v>3262</v>
      </c>
      <c r="Q144" s="3383"/>
      <c r="R144" s="3384"/>
      <c r="S144" s="3385"/>
      <c r="Z144" s="1773">
        <v>144</v>
      </c>
    </row>
    <row r="145" spans="1:26" s="289" customFormat="1" ht="11.25" customHeight="1">
      <c r="C145" s="291"/>
      <c r="D145" s="326"/>
      <c r="E145" s="2621" t="s">
        <v>6487</v>
      </c>
      <c r="F145" s="301"/>
      <c r="H145" s="3269"/>
      <c r="I145" s="3374"/>
      <c r="J145" s="3375"/>
      <c r="K145" s="3270"/>
      <c r="L145" s="3374"/>
      <c r="M145" s="3374"/>
      <c r="N145" s="3376"/>
      <c r="O145" s="2621" t="s">
        <v>588</v>
      </c>
      <c r="Q145" s="3377"/>
      <c r="R145" s="3273"/>
      <c r="S145" s="3274"/>
      <c r="Z145" s="1773">
        <v>145</v>
      </c>
    </row>
    <row r="146" spans="1:26" s="289" customFormat="1" ht="11.25" customHeight="1">
      <c r="C146" s="291"/>
      <c r="D146" s="326"/>
      <c r="E146" s="2621" t="s">
        <v>1717</v>
      </c>
      <c r="H146" s="2761"/>
      <c r="I146" s="916" t="s">
        <v>2128</v>
      </c>
      <c r="J146" s="3280"/>
      <c r="K146" s="3281"/>
      <c r="L146" s="2629" t="s">
        <v>1894</v>
      </c>
      <c r="M146" s="3279"/>
      <c r="N146" s="3341"/>
      <c r="O146" s="3341"/>
      <c r="P146" s="3341"/>
      <c r="Q146" s="3151"/>
      <c r="R146" s="3151"/>
      <c r="S146" s="3152"/>
      <c r="Z146" s="1773">
        <v>146</v>
      </c>
    </row>
    <row r="147" spans="1:26" ht="2.25" customHeight="1">
      <c r="C147" s="315"/>
      <c r="Z147" s="1773">
        <v>147</v>
      </c>
    </row>
    <row r="148" spans="1:26" s="289" customFormat="1" ht="11.25" customHeight="1">
      <c r="C148" s="1750" t="s">
        <v>2416</v>
      </c>
      <c r="D148" s="289" t="s">
        <v>6779</v>
      </c>
      <c r="H148" s="3378"/>
      <c r="I148" s="3379"/>
      <c r="J148" s="3380"/>
      <c r="K148" s="2629" t="s">
        <v>1716</v>
      </c>
      <c r="L148" s="3378"/>
      <c r="M148" s="3381"/>
      <c r="N148" s="3382"/>
      <c r="O148" s="2621" t="s">
        <v>3262</v>
      </c>
      <c r="Q148" s="3383"/>
      <c r="R148" s="3384"/>
      <c r="S148" s="3385"/>
      <c r="Z148" s="1773">
        <v>148</v>
      </c>
    </row>
    <row r="149" spans="1:26" s="289" customFormat="1" ht="11.25" customHeight="1">
      <c r="D149" s="326"/>
      <c r="E149" s="2621" t="s">
        <v>6487</v>
      </c>
      <c r="F149" s="301"/>
      <c r="H149" s="3269"/>
      <c r="I149" s="3374"/>
      <c r="J149" s="3375"/>
      <c r="K149" s="3270"/>
      <c r="L149" s="3374"/>
      <c r="M149" s="3374"/>
      <c r="N149" s="3376"/>
      <c r="O149" s="2621" t="s">
        <v>588</v>
      </c>
      <c r="Q149" s="3377"/>
      <c r="R149" s="3273"/>
      <c r="S149" s="3274"/>
      <c r="Z149" s="1773">
        <v>149</v>
      </c>
    </row>
    <row r="150" spans="1:26" s="289" customFormat="1" ht="11.25" customHeight="1">
      <c r="D150" s="326"/>
      <c r="E150" s="2621" t="s">
        <v>1717</v>
      </c>
      <c r="H150" s="2761"/>
      <c r="I150" s="916" t="s">
        <v>2128</v>
      </c>
      <c r="J150" s="3280"/>
      <c r="K150" s="3281"/>
      <c r="L150" s="2629" t="s">
        <v>1894</v>
      </c>
      <c r="M150" s="3279"/>
      <c r="N150" s="3341"/>
      <c r="O150" s="3341"/>
      <c r="P150" s="3341"/>
      <c r="Q150" s="3151"/>
      <c r="R150" s="3151"/>
      <c r="S150" s="3152"/>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386" t="s">
        <v>3437</v>
      </c>
      <c r="B153" s="3386"/>
      <c r="C153" s="3386"/>
      <c r="D153" s="3386"/>
      <c r="E153" s="3386"/>
      <c r="H153" s="2762" t="s">
        <v>2392</v>
      </c>
      <c r="I153" s="3368" t="s">
        <v>6794</v>
      </c>
      <c r="J153" s="3369"/>
      <c r="K153" s="3369"/>
      <c r="L153" s="3369"/>
      <c r="M153" s="3369"/>
      <c r="N153" s="3369"/>
      <c r="O153" s="3369"/>
      <c r="P153" s="3369"/>
      <c r="Q153" s="3369"/>
      <c r="R153" s="3369"/>
      <c r="S153" s="3370"/>
      <c r="Z153" s="1773">
        <v>153</v>
      </c>
    </row>
    <row r="154" spans="1:26" s="289" customFormat="1" ht="15" customHeight="1" thickBot="1">
      <c r="B154" s="1751" t="s">
        <v>1896</v>
      </c>
      <c r="C154" s="320" t="s">
        <v>2631</v>
      </c>
      <c r="E154" s="320"/>
      <c r="H154" s="2763" t="s">
        <v>2772</v>
      </c>
      <c r="I154" s="3464"/>
      <c r="J154" s="3391"/>
      <c r="K154" s="3391"/>
      <c r="L154" s="3391"/>
      <c r="M154" s="3391"/>
      <c r="N154" s="3391"/>
      <c r="O154" s="3391"/>
      <c r="P154" s="3391"/>
      <c r="Q154" s="3391"/>
      <c r="R154" s="3391"/>
      <c r="S154" s="3393"/>
      <c r="U154" s="3450" t="s">
        <v>1940</v>
      </c>
      <c r="V154" s="3450"/>
      <c r="Z154" s="1773">
        <v>154</v>
      </c>
    </row>
    <row r="155" spans="1:26" s="289" customFormat="1" ht="15" customHeight="1" thickBot="1">
      <c r="B155" s="550" t="s">
        <v>1898</v>
      </c>
      <c r="C155" s="469" t="s">
        <v>6485</v>
      </c>
      <c r="E155" s="320"/>
      <c r="H155" s="2763" t="s">
        <v>2772</v>
      </c>
      <c r="I155" s="3463"/>
      <c r="J155" s="3398"/>
      <c r="K155" s="3398"/>
      <c r="L155" s="3398"/>
      <c r="M155" s="3398"/>
      <c r="N155" s="3398"/>
      <c r="O155" s="3398"/>
      <c r="P155" s="3398"/>
      <c r="Q155" s="3398"/>
      <c r="R155" s="3398"/>
      <c r="S155" s="3400"/>
      <c r="U155" s="3450"/>
      <c r="V155" s="3450"/>
      <c r="Z155" s="1773">
        <v>155</v>
      </c>
    </row>
    <row r="156" spans="1:26" s="289" customFormat="1" ht="15" customHeight="1" thickBot="1">
      <c r="B156" s="550" t="s">
        <v>2416</v>
      </c>
      <c r="C156" s="469" t="s">
        <v>2670</v>
      </c>
      <c r="E156" s="320"/>
      <c r="H156" s="2763" t="s">
        <v>2772</v>
      </c>
      <c r="I156" s="3463"/>
      <c r="J156" s="3398"/>
      <c r="K156" s="3398"/>
      <c r="L156" s="3398"/>
      <c r="M156" s="3398"/>
      <c r="N156" s="3398"/>
      <c r="O156" s="3398"/>
      <c r="P156" s="3398"/>
      <c r="Q156" s="3398"/>
      <c r="R156" s="3398"/>
      <c r="S156" s="3400"/>
      <c r="U156" s="3450"/>
      <c r="V156" s="3450"/>
      <c r="Z156" s="1773">
        <v>156</v>
      </c>
    </row>
    <row r="157" spans="1:26" s="289" customFormat="1" ht="15" customHeight="1" thickBot="1">
      <c r="B157" s="550" t="s">
        <v>1178</v>
      </c>
      <c r="C157" s="469" t="s">
        <v>2632</v>
      </c>
      <c r="E157" s="320"/>
      <c r="H157" s="2763" t="s">
        <v>2772</v>
      </c>
      <c r="I157" s="3463"/>
      <c r="J157" s="3398"/>
      <c r="K157" s="3398"/>
      <c r="L157" s="3398"/>
      <c r="M157" s="3398"/>
      <c r="N157" s="3398"/>
      <c r="O157" s="3398"/>
      <c r="P157" s="3398"/>
      <c r="Q157" s="3398"/>
      <c r="R157" s="3398"/>
      <c r="S157" s="3400"/>
      <c r="U157" s="3450"/>
      <c r="V157" s="3450"/>
      <c r="Z157" s="1773">
        <v>157</v>
      </c>
    </row>
    <row r="158" spans="1:26" s="289" customFormat="1" ht="15" customHeight="1" thickBot="1">
      <c r="B158" s="550" t="s">
        <v>1179</v>
      </c>
      <c r="C158" s="469" t="s">
        <v>3195</v>
      </c>
      <c r="E158" s="320"/>
      <c r="H158" s="2763" t="s">
        <v>2772</v>
      </c>
      <c r="I158" s="3463"/>
      <c r="J158" s="3398"/>
      <c r="K158" s="3398"/>
      <c r="L158" s="3398"/>
      <c r="M158" s="3398"/>
      <c r="N158" s="3398"/>
      <c r="O158" s="3398"/>
      <c r="P158" s="3398"/>
      <c r="Q158" s="3398"/>
      <c r="R158" s="3398"/>
      <c r="S158" s="3400"/>
      <c r="U158" s="3450"/>
      <c r="V158" s="3450"/>
      <c r="Z158" s="1773">
        <v>158</v>
      </c>
    </row>
    <row r="159" spans="1:26" s="289" customFormat="1" ht="15" customHeight="1" thickBot="1">
      <c r="B159" s="550" t="s">
        <v>1792</v>
      </c>
      <c r="C159" s="469" t="s">
        <v>3196</v>
      </c>
      <c r="E159" s="320"/>
      <c r="H159" s="2763" t="s">
        <v>2769</v>
      </c>
      <c r="I159" s="3463" t="s">
        <v>6915</v>
      </c>
      <c r="J159" s="3398"/>
      <c r="K159" s="3398"/>
      <c r="L159" s="3398"/>
      <c r="M159" s="3398"/>
      <c r="N159" s="3398"/>
      <c r="O159" s="3398"/>
      <c r="P159" s="3398"/>
      <c r="Q159" s="3398"/>
      <c r="R159" s="3398"/>
      <c r="S159" s="3400"/>
      <c r="U159" s="3450"/>
      <c r="V159" s="3450"/>
      <c r="Z159" s="1773">
        <v>159</v>
      </c>
    </row>
    <row r="160" spans="1:26" s="289" customFormat="1" ht="15" customHeight="1" thickBot="1">
      <c r="B160" s="550" t="s">
        <v>481</v>
      </c>
      <c r="C160" s="469" t="s">
        <v>2633</v>
      </c>
      <c r="E160" s="320"/>
      <c r="H160" s="2763" t="s">
        <v>2772</v>
      </c>
      <c r="I160" s="3463"/>
      <c r="J160" s="3398"/>
      <c r="K160" s="3398"/>
      <c r="L160" s="3398"/>
      <c r="M160" s="3398"/>
      <c r="N160" s="3398"/>
      <c r="O160" s="3398"/>
      <c r="P160" s="3398"/>
      <c r="Q160" s="3398"/>
      <c r="R160" s="3398"/>
      <c r="S160" s="3400"/>
      <c r="Z160" s="1773">
        <v>160</v>
      </c>
    </row>
    <row r="161" spans="1:26" s="289" customFormat="1" ht="15" customHeight="1" thickBot="1">
      <c r="B161" s="550" t="s">
        <v>482</v>
      </c>
      <c r="C161" s="469" t="s">
        <v>4074</v>
      </c>
      <c r="E161" s="320"/>
      <c r="H161" s="2763" t="s">
        <v>2772</v>
      </c>
      <c r="I161" s="3463"/>
      <c r="J161" s="3398"/>
      <c r="K161" s="3398"/>
      <c r="L161" s="3398"/>
      <c r="M161" s="3398"/>
      <c r="N161" s="3398"/>
      <c r="O161" s="3398"/>
      <c r="P161" s="3398"/>
      <c r="Q161" s="3398"/>
      <c r="R161" s="3398"/>
      <c r="S161" s="3400"/>
      <c r="Z161" s="1773">
        <v>161</v>
      </c>
    </row>
    <row r="162" spans="1:26" s="289" customFormat="1" ht="15" customHeight="1" thickBot="1">
      <c r="B162" s="550" t="s">
        <v>4073</v>
      </c>
      <c r="C162" s="3371" t="s">
        <v>6914</v>
      </c>
      <c r="D162" s="3372"/>
      <c r="E162" s="3372"/>
      <c r="F162" s="3372"/>
      <c r="G162" s="3373"/>
      <c r="H162" s="2763" t="s">
        <v>2769</v>
      </c>
      <c r="I162" s="3462" t="s">
        <v>6916</v>
      </c>
      <c r="J162" s="3435"/>
      <c r="K162" s="3435"/>
      <c r="L162" s="3435"/>
      <c r="M162" s="3435"/>
      <c r="N162" s="3435"/>
      <c r="O162" s="3435"/>
      <c r="P162" s="3435"/>
      <c r="Q162" s="3435"/>
      <c r="R162" s="3435"/>
      <c r="S162" s="3437"/>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4063</v>
      </c>
      <c r="Z165" s="1773">
        <v>165</v>
      </c>
    </row>
    <row r="166" spans="1:26" s="289" customFormat="1" ht="12.75" customHeight="1">
      <c r="A166" s="3401" t="s">
        <v>610</v>
      </c>
      <c r="B166" s="3402"/>
      <c r="C166" s="3402"/>
      <c r="D166" s="3402"/>
      <c r="E166" s="3406" t="s">
        <v>3184</v>
      </c>
      <c r="F166" s="3407"/>
      <c r="G166" s="3407"/>
      <c r="H166" s="3407"/>
      <c r="I166" s="3408"/>
      <c r="J166" s="3412" t="s">
        <v>3185</v>
      </c>
      <c r="K166" s="3415" t="s">
        <v>2695</v>
      </c>
      <c r="L166" s="3415" t="s">
        <v>2696</v>
      </c>
      <c r="M166" s="3418" t="s">
        <v>6795</v>
      </c>
      <c r="N166" s="3419"/>
      <c r="O166" s="3419"/>
      <c r="P166" s="3419"/>
      <c r="Q166" s="3419"/>
      <c r="R166" s="3419"/>
      <c r="S166" s="3420"/>
      <c r="Z166" s="1773">
        <v>166</v>
      </c>
    </row>
    <row r="167" spans="1:26" s="289" customFormat="1" ht="12.75" customHeight="1">
      <c r="A167" s="3403"/>
      <c r="B167" s="3166"/>
      <c r="C167" s="3166"/>
      <c r="D167" s="3166"/>
      <c r="E167" s="3409"/>
      <c r="F167" s="3410"/>
      <c r="G167" s="3410"/>
      <c r="H167" s="3410"/>
      <c r="I167" s="3411"/>
      <c r="J167" s="3413"/>
      <c r="K167" s="3416"/>
      <c r="L167" s="3416"/>
      <c r="M167" s="3421"/>
      <c r="N167" s="3422"/>
      <c r="O167" s="3422"/>
      <c r="P167" s="3422"/>
      <c r="Q167" s="3422"/>
      <c r="R167" s="3422"/>
      <c r="S167" s="3423"/>
      <c r="Z167" s="1773">
        <v>167</v>
      </c>
    </row>
    <row r="168" spans="1:26" s="289" customFormat="1" ht="12.75" customHeight="1">
      <c r="A168" s="3403"/>
      <c r="B168" s="3166"/>
      <c r="C168" s="3166"/>
      <c r="D168" s="3166"/>
      <c r="E168" s="3409"/>
      <c r="F168" s="3410"/>
      <c r="G168" s="3410"/>
      <c r="H168" s="3410"/>
      <c r="I168" s="3411"/>
      <c r="J168" s="3413"/>
      <c r="K168" s="3416"/>
      <c r="L168" s="3416"/>
      <c r="M168" s="3421"/>
      <c r="N168" s="3422"/>
      <c r="O168" s="3422"/>
      <c r="P168" s="3422"/>
      <c r="Q168" s="3422"/>
      <c r="R168" s="3422"/>
      <c r="S168" s="3423"/>
      <c r="Z168" s="1773">
        <v>168</v>
      </c>
    </row>
    <row r="169" spans="1:26" s="289" customFormat="1" ht="12.75" customHeight="1">
      <c r="A169" s="3403"/>
      <c r="B169" s="3166"/>
      <c r="C169" s="3166"/>
      <c r="D169" s="3166"/>
      <c r="E169" s="3424" t="s">
        <v>3349</v>
      </c>
      <c r="F169" s="3425"/>
      <c r="G169" s="3425"/>
      <c r="H169" s="3426"/>
      <c r="I169" s="551"/>
      <c r="J169" s="3413"/>
      <c r="K169" s="3416"/>
      <c r="L169" s="3416"/>
      <c r="M169" s="3421"/>
      <c r="N169" s="3422"/>
      <c r="O169" s="3422"/>
      <c r="P169" s="3422"/>
      <c r="Q169" s="3422"/>
      <c r="R169" s="3422"/>
      <c r="S169" s="3423"/>
      <c r="Z169" s="1773">
        <v>169</v>
      </c>
    </row>
    <row r="170" spans="1:26" s="289" customFormat="1" ht="13.5" customHeight="1">
      <c r="A170" s="3404"/>
      <c r="B170" s="3405"/>
      <c r="C170" s="3405"/>
      <c r="D170" s="3405"/>
      <c r="E170" s="3427"/>
      <c r="F170" s="3428"/>
      <c r="G170" s="3428"/>
      <c r="H170" s="3429"/>
      <c r="I170" s="1300" t="s">
        <v>2392</v>
      </c>
      <c r="J170" s="3414"/>
      <c r="K170" s="3417"/>
      <c r="L170" s="3416"/>
      <c r="M170" s="1301" t="s">
        <v>2392</v>
      </c>
      <c r="N170" s="3337" t="s">
        <v>2694</v>
      </c>
      <c r="O170" s="3337"/>
      <c r="P170" s="3337"/>
      <c r="Q170" s="3337"/>
      <c r="R170" s="3337"/>
      <c r="S170" s="3430"/>
      <c r="Z170" s="1773">
        <v>170</v>
      </c>
    </row>
    <row r="171" spans="1:26" s="289" customFormat="1" ht="23.25" customHeight="1">
      <c r="A171" s="3387" t="s">
        <v>3179</v>
      </c>
      <c r="B171" s="3388"/>
      <c r="C171" s="3388"/>
      <c r="D171" s="3389"/>
      <c r="E171" s="3390"/>
      <c r="F171" s="3391"/>
      <c r="G171" s="3391"/>
      <c r="H171" s="3391"/>
      <c r="I171" s="2764" t="s">
        <v>2772</v>
      </c>
      <c r="J171" s="2765" t="s">
        <v>2772</v>
      </c>
      <c r="K171" s="2766" t="s">
        <v>6887</v>
      </c>
      <c r="L171" s="2767">
        <v>1E-4</v>
      </c>
      <c r="M171" s="2768" t="s">
        <v>2772</v>
      </c>
      <c r="N171" s="3392"/>
      <c r="O171" s="3391"/>
      <c r="P171" s="3391"/>
      <c r="Q171" s="3391"/>
      <c r="R171" s="3391"/>
      <c r="S171" s="3393"/>
      <c r="Z171" s="1773">
        <v>171</v>
      </c>
    </row>
    <row r="172" spans="1:26" s="289" customFormat="1" ht="23.25" customHeight="1">
      <c r="A172" s="3394" t="s">
        <v>3180</v>
      </c>
      <c r="B172" s="3395"/>
      <c r="C172" s="3395"/>
      <c r="D172" s="3396"/>
      <c r="E172" s="3397"/>
      <c r="F172" s="3398"/>
      <c r="G172" s="3398"/>
      <c r="H172" s="3398"/>
      <c r="I172" s="2769" t="s">
        <v>2772</v>
      </c>
      <c r="J172" s="2770" t="s">
        <v>2772</v>
      </c>
      <c r="K172" s="2771"/>
      <c r="L172" s="2772"/>
      <c r="M172" s="2773" t="s">
        <v>2772</v>
      </c>
      <c r="N172" s="3399"/>
      <c r="O172" s="3398"/>
      <c r="P172" s="3398"/>
      <c r="Q172" s="3398"/>
      <c r="R172" s="3398"/>
      <c r="S172" s="3400"/>
      <c r="U172" s="3450" t="s">
        <v>1940</v>
      </c>
      <c r="V172" s="3450"/>
      <c r="Z172" s="1773">
        <v>172</v>
      </c>
    </row>
    <row r="173" spans="1:26" s="289" customFormat="1" ht="23.25" customHeight="1">
      <c r="A173" s="3394" t="s">
        <v>3181</v>
      </c>
      <c r="B173" s="3395"/>
      <c r="C173" s="3395"/>
      <c r="D173" s="3396"/>
      <c r="E173" s="3397"/>
      <c r="F173" s="3398"/>
      <c r="G173" s="3398"/>
      <c r="H173" s="3398"/>
      <c r="I173" s="2769" t="s">
        <v>2772</v>
      </c>
      <c r="J173" s="2770" t="s">
        <v>2772</v>
      </c>
      <c r="K173" s="2771"/>
      <c r="L173" s="2772"/>
      <c r="M173" s="2773" t="s">
        <v>2772</v>
      </c>
      <c r="N173" s="3399"/>
      <c r="O173" s="3398"/>
      <c r="P173" s="3398"/>
      <c r="Q173" s="3398"/>
      <c r="R173" s="3398"/>
      <c r="S173" s="3400"/>
      <c r="U173" s="3450"/>
      <c r="V173" s="3450"/>
      <c r="Z173" s="1773">
        <v>173</v>
      </c>
    </row>
    <row r="174" spans="1:26" s="289" customFormat="1" ht="23.25" customHeight="1">
      <c r="A174" s="3394" t="s">
        <v>3182</v>
      </c>
      <c r="B174" s="3395"/>
      <c r="C174" s="3395"/>
      <c r="D174" s="3396"/>
      <c r="E174" s="3397"/>
      <c r="F174" s="3398"/>
      <c r="G174" s="3398"/>
      <c r="H174" s="3398"/>
      <c r="I174" s="2769" t="s">
        <v>2772</v>
      </c>
      <c r="J174" s="2770" t="s">
        <v>2772</v>
      </c>
      <c r="K174" s="2771" t="s">
        <v>6887</v>
      </c>
      <c r="L174" s="2772">
        <v>0.9899</v>
      </c>
      <c r="M174" s="2773" t="s">
        <v>2772</v>
      </c>
      <c r="N174" s="3399"/>
      <c r="O174" s="3398"/>
      <c r="P174" s="3398"/>
      <c r="Q174" s="3398"/>
      <c r="R174" s="3398"/>
      <c r="S174" s="3400"/>
      <c r="U174" s="3450"/>
      <c r="V174" s="3450"/>
      <c r="Z174" s="1773">
        <v>174</v>
      </c>
    </row>
    <row r="175" spans="1:26" s="289" customFormat="1" ht="23.25" customHeight="1">
      <c r="A175" s="3394" t="s">
        <v>3183</v>
      </c>
      <c r="B175" s="3395"/>
      <c r="C175" s="3395"/>
      <c r="D175" s="3396"/>
      <c r="E175" s="3397"/>
      <c r="F175" s="3398"/>
      <c r="G175" s="3398"/>
      <c r="H175" s="3398"/>
      <c r="I175" s="2769" t="s">
        <v>2772</v>
      </c>
      <c r="J175" s="2770" t="s">
        <v>2772</v>
      </c>
      <c r="K175" s="2771" t="s">
        <v>6887</v>
      </c>
      <c r="L175" s="2772">
        <v>0.01</v>
      </c>
      <c r="M175" s="2773" t="s">
        <v>2772</v>
      </c>
      <c r="N175" s="3399"/>
      <c r="O175" s="3398"/>
      <c r="P175" s="3398"/>
      <c r="Q175" s="3398"/>
      <c r="R175" s="3398"/>
      <c r="S175" s="3400"/>
      <c r="U175" s="3450"/>
      <c r="V175" s="3450"/>
      <c r="Z175" s="1773">
        <v>175</v>
      </c>
    </row>
    <row r="176" spans="1:26" s="289" customFormat="1" ht="23.25" customHeight="1">
      <c r="A176" s="3394" t="s">
        <v>2684</v>
      </c>
      <c r="B176" s="3395"/>
      <c r="C176" s="3395"/>
      <c r="D176" s="3396"/>
      <c r="E176" s="3397"/>
      <c r="F176" s="3398"/>
      <c r="G176" s="3398"/>
      <c r="H176" s="3398"/>
      <c r="I176" s="2769" t="s">
        <v>2772</v>
      </c>
      <c r="J176" s="2770" t="s">
        <v>2772</v>
      </c>
      <c r="K176" s="2771"/>
      <c r="L176" s="2772"/>
      <c r="M176" s="2773" t="s">
        <v>2772</v>
      </c>
      <c r="N176" s="3399"/>
      <c r="O176" s="3398"/>
      <c r="P176" s="3398"/>
      <c r="Q176" s="3398"/>
      <c r="R176" s="3398"/>
      <c r="S176" s="3400"/>
      <c r="U176" s="3450"/>
      <c r="V176" s="3450"/>
      <c r="Z176" s="1773">
        <v>176</v>
      </c>
    </row>
    <row r="177" spans="1:26" s="289" customFormat="1" ht="23.25" customHeight="1">
      <c r="A177" s="3394" t="s">
        <v>623</v>
      </c>
      <c r="B177" s="3395"/>
      <c r="C177" s="3395"/>
      <c r="D177" s="3396"/>
      <c r="E177" s="3397"/>
      <c r="F177" s="3398"/>
      <c r="G177" s="3398"/>
      <c r="H177" s="3398"/>
      <c r="I177" s="2769" t="s">
        <v>2772</v>
      </c>
      <c r="J177" s="2770" t="s">
        <v>2772</v>
      </c>
      <c r="K177" s="2771" t="s">
        <v>6887</v>
      </c>
      <c r="L177" s="2772">
        <v>0</v>
      </c>
      <c r="M177" s="2773" t="s">
        <v>2772</v>
      </c>
      <c r="N177" s="3399"/>
      <c r="O177" s="3398"/>
      <c r="P177" s="3398"/>
      <c r="Q177" s="3398"/>
      <c r="R177" s="3398"/>
      <c r="S177" s="3400"/>
      <c r="U177" s="3450"/>
      <c r="V177" s="3450"/>
      <c r="Z177" s="1773">
        <v>177</v>
      </c>
    </row>
    <row r="178" spans="1:26" s="289" customFormat="1" ht="23.25" customHeight="1">
      <c r="A178" s="3394" t="s">
        <v>2685</v>
      </c>
      <c r="B178" s="3395"/>
      <c r="C178" s="3395"/>
      <c r="D178" s="3396"/>
      <c r="E178" s="3397"/>
      <c r="F178" s="3398"/>
      <c r="G178" s="3398"/>
      <c r="H178" s="3398"/>
      <c r="I178" s="2769" t="s">
        <v>2772</v>
      </c>
      <c r="J178" s="2770" t="s">
        <v>2772</v>
      </c>
      <c r="K178" s="2771"/>
      <c r="L178" s="2772"/>
      <c r="M178" s="2773" t="s">
        <v>2772</v>
      </c>
      <c r="N178" s="3399"/>
      <c r="O178" s="3398"/>
      <c r="P178" s="3398"/>
      <c r="Q178" s="3398"/>
      <c r="R178" s="3398"/>
      <c r="S178" s="3400"/>
      <c r="Z178" s="1773">
        <v>178</v>
      </c>
    </row>
    <row r="179" spans="1:26" s="289" customFormat="1" ht="23.25" customHeight="1">
      <c r="A179" s="3394" t="s">
        <v>2686</v>
      </c>
      <c r="B179" s="3395"/>
      <c r="C179" s="3395"/>
      <c r="D179" s="3396"/>
      <c r="E179" s="3397"/>
      <c r="F179" s="3398"/>
      <c r="G179" s="3398"/>
      <c r="H179" s="3398"/>
      <c r="I179" s="2769" t="s">
        <v>2772</v>
      </c>
      <c r="J179" s="2770" t="s">
        <v>2772</v>
      </c>
      <c r="K179" s="2771"/>
      <c r="L179" s="2772"/>
      <c r="M179" s="2773" t="s">
        <v>2772</v>
      </c>
      <c r="N179" s="3399"/>
      <c r="O179" s="3398"/>
      <c r="P179" s="3398"/>
      <c r="Q179" s="3398"/>
      <c r="R179" s="3398"/>
      <c r="S179" s="3400"/>
      <c r="Z179" s="1773">
        <v>179</v>
      </c>
    </row>
    <row r="180" spans="1:26" s="289" customFormat="1" ht="23.25" customHeight="1">
      <c r="A180" s="3394" t="s">
        <v>2688</v>
      </c>
      <c r="B180" s="3395"/>
      <c r="C180" s="3395"/>
      <c r="D180" s="3396"/>
      <c r="E180" s="3397"/>
      <c r="F180" s="3398"/>
      <c r="G180" s="3398"/>
      <c r="H180" s="3398"/>
      <c r="I180" s="2769" t="s">
        <v>2772</v>
      </c>
      <c r="J180" s="2770" t="s">
        <v>2772</v>
      </c>
      <c r="K180" s="2771"/>
      <c r="L180" s="2772"/>
      <c r="M180" s="2773" t="s">
        <v>2772</v>
      </c>
      <c r="N180" s="3399"/>
      <c r="O180" s="3398"/>
      <c r="P180" s="3398"/>
      <c r="Q180" s="3398"/>
      <c r="R180" s="3398"/>
      <c r="S180" s="3400"/>
      <c r="Z180" s="1773">
        <v>180</v>
      </c>
    </row>
    <row r="181" spans="1:26" s="289" customFormat="1" ht="23.25" customHeight="1">
      <c r="A181" s="3394" t="s">
        <v>2687</v>
      </c>
      <c r="B181" s="3395"/>
      <c r="C181" s="3395"/>
      <c r="D181" s="3396"/>
      <c r="E181" s="3397"/>
      <c r="F181" s="3398"/>
      <c r="G181" s="3398"/>
      <c r="H181" s="3398"/>
      <c r="I181" s="2769" t="s">
        <v>2772</v>
      </c>
      <c r="J181" s="2770" t="s">
        <v>2772</v>
      </c>
      <c r="K181" s="2771"/>
      <c r="L181" s="2772"/>
      <c r="M181" s="2773" t="s">
        <v>2772</v>
      </c>
      <c r="N181" s="3399"/>
      <c r="O181" s="3398"/>
      <c r="P181" s="3398"/>
      <c r="Q181" s="3398"/>
      <c r="R181" s="3398"/>
      <c r="S181" s="3400"/>
      <c r="Z181" s="1773">
        <v>181</v>
      </c>
    </row>
    <row r="182" spans="1:26" s="289" customFormat="1" ht="23.25" customHeight="1">
      <c r="A182" s="3394" t="s">
        <v>1468</v>
      </c>
      <c r="B182" s="3395"/>
      <c r="C182" s="3395"/>
      <c r="D182" s="3396"/>
      <c r="E182" s="3397"/>
      <c r="F182" s="3398"/>
      <c r="G182" s="3398"/>
      <c r="H182" s="3398"/>
      <c r="I182" s="2769" t="s">
        <v>2772</v>
      </c>
      <c r="J182" s="2770" t="s">
        <v>2772</v>
      </c>
      <c r="K182" s="2771" t="s">
        <v>6887</v>
      </c>
      <c r="L182" s="2772">
        <v>0</v>
      </c>
      <c r="M182" s="2773" t="s">
        <v>2772</v>
      </c>
      <c r="N182" s="3399"/>
      <c r="O182" s="3398"/>
      <c r="P182" s="3398"/>
      <c r="Q182" s="3398"/>
      <c r="R182" s="3398"/>
      <c r="S182" s="3400"/>
      <c r="Z182" s="1773">
        <v>182</v>
      </c>
    </row>
    <row r="183" spans="1:26" s="289" customFormat="1" ht="23.25" customHeight="1">
      <c r="A183" s="3431" t="s">
        <v>2689</v>
      </c>
      <c r="B183" s="3432"/>
      <c r="C183" s="3432"/>
      <c r="D183" s="3433"/>
      <c r="E183" s="3434"/>
      <c r="F183" s="3435"/>
      <c r="G183" s="3435"/>
      <c r="H183" s="3435"/>
      <c r="I183" s="2774" t="s">
        <v>2772</v>
      </c>
      <c r="J183" s="2775" t="s">
        <v>2772</v>
      </c>
      <c r="K183" s="2776" t="s">
        <v>6887</v>
      </c>
      <c r="L183" s="2777">
        <v>0</v>
      </c>
      <c r="M183" s="2778" t="s">
        <v>2772</v>
      </c>
      <c r="N183" s="3436"/>
      <c r="O183" s="3435"/>
      <c r="P183" s="3435"/>
      <c r="Q183" s="3435"/>
      <c r="R183" s="3435"/>
      <c r="S183" s="3437"/>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8"/>
      <c r="B186" s="3439"/>
      <c r="C186" s="3439"/>
      <c r="D186" s="3439"/>
      <c r="E186" s="3439"/>
      <c r="F186" s="3439"/>
      <c r="G186" s="3439"/>
      <c r="H186" s="3439"/>
      <c r="I186" s="3439"/>
      <c r="J186" s="3439"/>
      <c r="K186" s="3439"/>
      <c r="L186" s="3439"/>
      <c r="M186" s="3440"/>
      <c r="N186" s="3441"/>
      <c r="O186" s="3442"/>
      <c r="P186" s="3442"/>
      <c r="Q186" s="3442"/>
      <c r="R186" s="3442"/>
      <c r="S186" s="3443"/>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t5sNAS8sXDf7pmGkedZjBow3eneQN3NVdYxb9GlfiJWWOkTvYPg8++tF/Jw/H09qmKOOECyGhy6YGYDRkHyX9Q==" saltValue="L8mbMKRxP5dCFsH0GZr0Yg=="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A44"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451" t="str">
        <f>CONCATENATE("PART THREE - SOURCES OF FUNDS (Proposed)","  -  ",'Part I-Project Information'!$O$7," ",'Part I-Project Information'!$F$35,", ",'Part I-Project Information'!$F$39,", ",'Part I-Project Information'!$J$40," County")</f>
        <v>PART THREE - SOURCES OF FUNDS (Proposed)  -  2021-014 Dunbar Court, Byron, Peach County</v>
      </c>
      <c r="B2" s="3452"/>
      <c r="C2" s="3452"/>
      <c r="D2" s="3452"/>
      <c r="E2" s="3452"/>
      <c r="F2" s="3452"/>
      <c r="G2" s="3452"/>
      <c r="H2" s="3452"/>
      <c r="I2" s="3452"/>
      <c r="J2" s="3452"/>
      <c r="K2" s="3452"/>
      <c r="L2" s="3452"/>
      <c r="M2" s="3452"/>
      <c r="N2" s="3452"/>
      <c r="O2" s="3452"/>
      <c r="P2" s="3452"/>
      <c r="Q2" s="3453"/>
      <c r="S2" s="3569" t="str">
        <f>$A$2</f>
        <v>PART THREE - SOURCES OF FUNDS (Proposed)  -  2021-014 Dunbar Court, Byron, Peach County</v>
      </c>
      <c r="T2" s="356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81" t="str">
        <f>'Part I-Project Information'!$B$7</f>
        <v>2021 Core Application</v>
      </c>
      <c r="M4" s="3582"/>
      <c r="N4" s="3582"/>
      <c r="O4" s="3582"/>
      <c r="P4" s="3583"/>
      <c r="S4" s="332" t="str">
        <f>B4</f>
        <v>GOVERNMENT FUNDING SOURCES  (check all that apply)</v>
      </c>
      <c r="Y4" s="1807"/>
      <c r="Z4" s="1773">
        <v>4</v>
      </c>
      <c r="AZ4" s="2782"/>
    </row>
    <row r="5" spans="1:52" s="265" customFormat="1" ht="15.75" customHeight="1">
      <c r="A5" s="315"/>
      <c r="B5" s="1711"/>
      <c r="C5" s="310"/>
      <c r="D5" s="2628"/>
      <c r="E5" s="2628"/>
      <c r="F5" s="2628"/>
      <c r="G5" s="2628"/>
      <c r="S5" s="3528" t="s">
        <v>2537</v>
      </c>
      <c r="T5" s="3528"/>
      <c r="Y5" s="1807"/>
      <c r="Z5" s="1773">
        <v>5</v>
      </c>
      <c r="AZ5" s="2782"/>
    </row>
    <row r="6" spans="1:52" s="265" customFormat="1" ht="16.5" customHeight="1">
      <c r="A6" s="1711"/>
      <c r="B6" s="2692" t="s">
        <v>2769</v>
      </c>
      <c r="C6" s="266" t="s">
        <v>2300</v>
      </c>
      <c r="D6" s="289"/>
      <c r="E6" s="2692" t="s">
        <v>2772</v>
      </c>
      <c r="F6" s="266" t="s">
        <v>6290</v>
      </c>
      <c r="G6" s="289"/>
      <c r="I6" s="3573"/>
      <c r="J6" s="3574"/>
      <c r="L6" s="2692" t="s">
        <v>2772</v>
      </c>
      <c r="M6" s="266" t="s">
        <v>1475</v>
      </c>
      <c r="Q6" s="1692"/>
      <c r="S6" s="3517"/>
      <c r="T6" s="3518"/>
      <c r="Y6" s="1807"/>
      <c r="Z6" s="1773">
        <v>6</v>
      </c>
      <c r="AZ6" s="2782"/>
    </row>
    <row r="7" spans="1:52" s="265" customFormat="1" ht="16.5" customHeight="1">
      <c r="A7" s="1711"/>
      <c r="B7" s="2680" t="s">
        <v>2772</v>
      </c>
      <c r="C7" s="266" t="s">
        <v>4058</v>
      </c>
      <c r="D7" s="289"/>
      <c r="E7" s="2693" t="s">
        <v>2772</v>
      </c>
      <c r="F7" s="266" t="s">
        <v>6291</v>
      </c>
      <c r="I7" s="3575"/>
      <c r="J7" s="3576"/>
      <c r="L7" s="2680" t="s">
        <v>2772</v>
      </c>
      <c r="M7" s="266" t="s">
        <v>523</v>
      </c>
      <c r="P7" s="1692"/>
      <c r="Q7" s="1692"/>
      <c r="S7" s="3478"/>
      <c r="T7" s="3479"/>
      <c r="Y7" s="1807"/>
      <c r="Z7" s="1773">
        <v>7</v>
      </c>
      <c r="AZ7" s="2782"/>
    </row>
    <row r="8" spans="1:52" s="265" customFormat="1" ht="16.5" customHeight="1">
      <c r="A8" s="289"/>
      <c r="B8" s="2680" t="s">
        <v>2772</v>
      </c>
      <c r="C8" s="266" t="s">
        <v>524</v>
      </c>
      <c r="F8" s="265" t="s">
        <v>6292</v>
      </c>
      <c r="H8" s="3570" t="s">
        <v>3186</v>
      </c>
      <c r="I8" s="3571"/>
      <c r="J8" s="3572"/>
      <c r="L8" s="2680" t="s">
        <v>2772</v>
      </c>
      <c r="M8" s="284" t="s">
        <v>3276</v>
      </c>
      <c r="P8" s="1692"/>
      <c r="Q8" s="1692"/>
      <c r="S8" s="3478"/>
      <c r="T8" s="3479"/>
      <c r="Y8" s="1807"/>
      <c r="Z8" s="1773">
        <v>8</v>
      </c>
      <c r="AZ8" s="2782"/>
    </row>
    <row r="9" spans="1:52" s="265" customFormat="1" ht="16.5" customHeight="1">
      <c r="A9" s="1711"/>
      <c r="B9" s="2680" t="s">
        <v>2772</v>
      </c>
      <c r="C9" s="265" t="s">
        <v>3441</v>
      </c>
      <c r="E9" s="2783" t="s">
        <v>2772</v>
      </c>
      <c r="F9" s="3577" t="s">
        <v>3924</v>
      </c>
      <c r="G9" s="3171"/>
      <c r="H9" s="3171"/>
      <c r="I9" s="3171"/>
      <c r="J9" s="3172"/>
      <c r="L9" s="2680" t="s">
        <v>2772</v>
      </c>
      <c r="M9" s="284" t="s">
        <v>4059</v>
      </c>
      <c r="Q9" s="1692"/>
      <c r="S9" s="3480"/>
      <c r="T9" s="3481"/>
      <c r="Y9" s="1807"/>
      <c r="Z9" s="1773">
        <v>9</v>
      </c>
      <c r="AZ9" s="2782"/>
    </row>
    <row r="10" spans="1:52" s="265" customFormat="1" ht="16.5" customHeight="1">
      <c r="A10" s="1711"/>
      <c r="B10" s="2680" t="s">
        <v>2772</v>
      </c>
      <c r="C10" s="266" t="s">
        <v>2481</v>
      </c>
      <c r="F10" s="3578" t="s">
        <v>3926</v>
      </c>
      <c r="G10" s="3579"/>
      <c r="H10" s="3579"/>
      <c r="I10" s="3579"/>
      <c r="J10" s="3580"/>
      <c r="L10" s="2680" t="s">
        <v>2772</v>
      </c>
      <c r="M10" s="266" t="s">
        <v>3319</v>
      </c>
      <c r="P10" s="1692"/>
      <c r="Q10" s="1692"/>
      <c r="S10" s="3517"/>
      <c r="T10" s="3518"/>
      <c r="Y10" s="1807"/>
      <c r="Z10" s="1773">
        <v>10</v>
      </c>
      <c r="AZ10" s="2782"/>
    </row>
    <row r="11" spans="1:52" s="265" customFormat="1" ht="16.5" customHeight="1">
      <c r="A11" s="1711"/>
      <c r="B11" s="2680" t="s">
        <v>2772</v>
      </c>
      <c r="C11" s="266" t="s">
        <v>2482</v>
      </c>
      <c r="E11" s="2783" t="s">
        <v>2772</v>
      </c>
      <c r="F11" s="3577" t="s">
        <v>3925</v>
      </c>
      <c r="G11" s="3171"/>
      <c r="H11" s="3171"/>
      <c r="I11" s="3171"/>
      <c r="J11" s="3172"/>
      <c r="L11" s="2680" t="s">
        <v>2772</v>
      </c>
      <c r="M11" s="265" t="s">
        <v>2486</v>
      </c>
      <c r="S11" s="3478"/>
      <c r="T11" s="3479"/>
      <c r="Y11" s="1807"/>
      <c r="Z11" s="1773">
        <v>11</v>
      </c>
      <c r="AZ11" s="2782"/>
    </row>
    <row r="12" spans="1:52" s="265" customFormat="1" ht="16.5" customHeight="1">
      <c r="A12" s="1711"/>
      <c r="B12" s="2680" t="s">
        <v>2772</v>
      </c>
      <c r="C12" s="284" t="s">
        <v>3322</v>
      </c>
      <c r="F12" s="3578" t="s">
        <v>3927</v>
      </c>
      <c r="G12" s="3579"/>
      <c r="H12" s="3579"/>
      <c r="I12" s="3579"/>
      <c r="J12" s="3580"/>
      <c r="L12" s="2680" t="s">
        <v>2772</v>
      </c>
      <c r="M12" s="265" t="s">
        <v>3352</v>
      </c>
      <c r="S12" s="3478"/>
      <c r="T12" s="3479"/>
      <c r="Y12" s="1807"/>
      <c r="Z12" s="1773">
        <v>12</v>
      </c>
      <c r="AZ12" s="2782"/>
    </row>
    <row r="13" spans="1:52" s="265" customFormat="1" ht="16.5" customHeight="1">
      <c r="A13" s="1711"/>
      <c r="B13" s="2680" t="s">
        <v>2772</v>
      </c>
      <c r="C13" s="284" t="s">
        <v>2485</v>
      </c>
      <c r="E13" s="2692" t="s">
        <v>2772</v>
      </c>
      <c r="F13" s="284" t="s">
        <v>3351</v>
      </c>
      <c r="H13" s="3570" t="s">
        <v>3431</v>
      </c>
      <c r="I13" s="3571"/>
      <c r="J13" s="3572"/>
      <c r="L13" s="2680" t="s">
        <v>2772</v>
      </c>
      <c r="M13" s="265" t="s">
        <v>6289</v>
      </c>
      <c r="S13" s="3478"/>
      <c r="T13" s="3479"/>
      <c r="Y13" s="1807"/>
      <c r="Z13" s="1773">
        <v>13</v>
      </c>
      <c r="AZ13" s="2782"/>
    </row>
    <row r="14" spans="1:52" s="265" customFormat="1" ht="16.5" customHeight="1">
      <c r="A14" s="1711"/>
      <c r="B14" s="2680" t="s">
        <v>2772</v>
      </c>
      <c r="C14" s="265" t="s">
        <v>2484</v>
      </c>
      <c r="E14" s="2680" t="s">
        <v>2772</v>
      </c>
      <c r="F14" s="284" t="s">
        <v>3440</v>
      </c>
      <c r="L14" s="2680" t="s">
        <v>2772</v>
      </c>
      <c r="M14" s="265" t="s">
        <v>6535</v>
      </c>
      <c r="S14" s="3480"/>
      <c r="T14" s="3481"/>
      <c r="Y14" s="1807"/>
      <c r="Z14" s="1773">
        <v>14</v>
      </c>
      <c r="AZ14" s="2782"/>
    </row>
    <row r="15" spans="1:52" s="265" customFormat="1" ht="16.5" customHeight="1">
      <c r="A15" s="1711"/>
      <c r="B15" s="2680" t="s">
        <v>2772</v>
      </c>
      <c r="C15" s="265" t="s">
        <v>3350</v>
      </c>
      <c r="E15" s="2680" t="s">
        <v>2772</v>
      </c>
      <c r="F15" s="284" t="s">
        <v>6293</v>
      </c>
      <c r="L15" s="2680" t="s">
        <v>2769</v>
      </c>
      <c r="M15" s="1693" t="s">
        <v>6294</v>
      </c>
      <c r="Y15" s="1807"/>
      <c r="Z15" s="1773">
        <v>15</v>
      </c>
      <c r="AZ15" s="2782"/>
    </row>
    <row r="16" spans="1:52" s="265" customFormat="1" ht="16.5" customHeight="1">
      <c r="A16" s="1711"/>
      <c r="B16" s="2693" t="s">
        <v>2772</v>
      </c>
      <c r="C16" s="266" t="s">
        <v>1720</v>
      </c>
      <c r="E16" s="2693" t="s">
        <v>2772</v>
      </c>
      <c r="F16" s="266" t="s">
        <v>6835</v>
      </c>
      <c r="I16" s="3584"/>
      <c r="J16" s="3585"/>
      <c r="L16" s="2693" t="s">
        <v>2772</v>
      </c>
      <c r="M16" s="1693" t="s">
        <v>6288</v>
      </c>
      <c r="Y16" s="1807"/>
      <c r="Z16" s="1773">
        <v>16</v>
      </c>
      <c r="AZ16" s="2782"/>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8"/>
      <c r="E19" s="289"/>
      <c r="F19" s="289"/>
      <c r="G19" s="289"/>
      <c r="L19" s="289"/>
      <c r="M19" s="2628"/>
      <c r="N19" s="3586"/>
      <c r="O19" s="3586"/>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1784</v>
      </c>
      <c r="C21" s="289"/>
      <c r="D21" s="289"/>
      <c r="E21" s="289"/>
      <c r="F21" s="289"/>
      <c r="G21" s="289"/>
      <c r="H21" s="3587" t="s">
        <v>1249</v>
      </c>
      <c r="I21" s="3587"/>
      <c r="J21" s="3587"/>
      <c r="K21" s="3587"/>
      <c r="L21" s="3338" t="s">
        <v>4023</v>
      </c>
      <c r="M21" s="3338"/>
      <c r="N21" s="3338" t="s">
        <v>1446</v>
      </c>
      <c r="O21" s="3338"/>
      <c r="P21" s="3338" t="s">
        <v>1564</v>
      </c>
      <c r="Q21" s="3338"/>
      <c r="S21" s="3528" t="s">
        <v>2537</v>
      </c>
      <c r="T21" s="3528"/>
      <c r="Y21" s="1807"/>
      <c r="Z21" s="1773">
        <v>21</v>
      </c>
      <c r="AZ21" s="2782" t="s">
        <v>6652</v>
      </c>
    </row>
    <row r="22" spans="1:52" s="265" customFormat="1" ht="15.75" customHeight="1">
      <c r="A22" s="289"/>
      <c r="B22" s="3531" t="s">
        <v>1525</v>
      </c>
      <c r="C22" s="3532"/>
      <c r="D22" s="3532"/>
      <c r="E22" s="2626"/>
      <c r="F22" s="2626"/>
      <c r="G22" s="2626"/>
      <c r="H22" s="3503" t="s">
        <v>6871</v>
      </c>
      <c r="I22" s="3504"/>
      <c r="J22" s="3504"/>
      <c r="K22" s="3505"/>
      <c r="L22" s="3552">
        <v>7662012</v>
      </c>
      <c r="M22" s="3553"/>
      <c r="N22" s="3554">
        <v>4.9250000000000002E-2</v>
      </c>
      <c r="O22" s="3555"/>
      <c r="P22" s="3556">
        <v>24</v>
      </c>
      <c r="Q22" s="3557"/>
      <c r="S22" s="3517"/>
      <c r="T22" s="3518"/>
      <c r="Y22" s="1807" t="s">
        <v>6652</v>
      </c>
      <c r="Z22" s="1773">
        <v>22</v>
      </c>
      <c r="AZ22" s="2782" t="s">
        <v>6653</v>
      </c>
    </row>
    <row r="23" spans="1:52" s="265" customFormat="1" ht="15.75" customHeight="1">
      <c r="A23" s="289"/>
      <c r="B23" s="3519" t="s">
        <v>1526</v>
      </c>
      <c r="C23" s="3520"/>
      <c r="D23" s="3520"/>
      <c r="E23" s="2628"/>
      <c r="F23" s="2628"/>
      <c r="G23" s="2628"/>
      <c r="H23" s="3465" t="s">
        <v>6985</v>
      </c>
      <c r="I23" s="3466"/>
      <c r="J23" s="3466"/>
      <c r="K23" s="3467"/>
      <c r="L23" s="3540">
        <v>480000</v>
      </c>
      <c r="M23" s="3541"/>
      <c r="N23" s="3563">
        <v>2.1399999999999999E-2</v>
      </c>
      <c r="O23" s="3564"/>
      <c r="P23" s="3565">
        <v>24</v>
      </c>
      <c r="Q23" s="3566"/>
      <c r="S23" s="3478"/>
      <c r="T23" s="3479"/>
      <c r="Y23" s="1807" t="s">
        <v>6653</v>
      </c>
      <c r="Z23" s="1773">
        <v>23</v>
      </c>
      <c r="AZ23" s="2782" t="s">
        <v>6654</v>
      </c>
    </row>
    <row r="24" spans="1:52" s="265" customFormat="1" ht="15.75" customHeight="1">
      <c r="A24" s="289"/>
      <c r="B24" s="3567" t="s">
        <v>1527</v>
      </c>
      <c r="C24" s="3568"/>
      <c r="D24" s="3568"/>
      <c r="E24" s="2631"/>
      <c r="F24" s="2631"/>
      <c r="G24" s="2631"/>
      <c r="H24" s="3483"/>
      <c r="I24" s="3484"/>
      <c r="J24" s="3484"/>
      <c r="K24" s="3485"/>
      <c r="L24" s="3544"/>
      <c r="M24" s="3545"/>
      <c r="N24" s="3588"/>
      <c r="O24" s="3589"/>
      <c r="P24" s="3590"/>
      <c r="Q24" s="3591"/>
      <c r="S24" s="3478"/>
      <c r="T24" s="3479"/>
      <c r="Y24" s="1807" t="s">
        <v>6654</v>
      </c>
      <c r="Z24" s="1773">
        <v>24</v>
      </c>
      <c r="AZ24" s="2782" t="s">
        <v>6655</v>
      </c>
    </row>
    <row r="25" spans="1:52" s="265" customFormat="1" ht="15.75" customHeight="1">
      <c r="A25" s="289"/>
      <c r="B25" s="3531" t="s">
        <v>2114</v>
      </c>
      <c r="C25" s="3532"/>
      <c r="D25" s="3532"/>
      <c r="E25" s="2628"/>
      <c r="F25" s="2628"/>
      <c r="G25" s="2628"/>
      <c r="H25" s="3558"/>
      <c r="I25" s="3559"/>
      <c r="J25" s="3559"/>
      <c r="K25" s="3560"/>
      <c r="L25" s="3561"/>
      <c r="M25" s="3562"/>
      <c r="N25" s="3542"/>
      <c r="O25" s="3543"/>
      <c r="P25" s="3526"/>
      <c r="Q25" s="3526"/>
      <c r="S25" s="3478"/>
      <c r="T25" s="3479"/>
      <c r="Y25" s="1807" t="s">
        <v>6655</v>
      </c>
      <c r="Z25" s="1773">
        <v>25</v>
      </c>
      <c r="AZ25" s="2782" t="s">
        <v>6656</v>
      </c>
    </row>
    <row r="26" spans="1:52" s="265" customFormat="1" ht="15.75" customHeight="1">
      <c r="A26" s="289"/>
      <c r="B26" s="3519" t="s">
        <v>768</v>
      </c>
      <c r="C26" s="3520"/>
      <c r="D26" s="3520"/>
      <c r="E26" s="2628"/>
      <c r="H26" s="3465"/>
      <c r="I26" s="3466"/>
      <c r="J26" s="3466"/>
      <c r="K26" s="3467"/>
      <c r="L26" s="3540"/>
      <c r="M26" s="3541"/>
      <c r="N26" s="3542"/>
      <c r="O26" s="3543"/>
      <c r="P26" s="3526"/>
      <c r="Q26" s="3526"/>
      <c r="S26" s="3478"/>
      <c r="T26" s="3479"/>
      <c r="Y26" s="1807" t="s">
        <v>6656</v>
      </c>
      <c r="Z26" s="1773">
        <v>26</v>
      </c>
      <c r="AZ26" s="2782" t="s">
        <v>6657</v>
      </c>
    </row>
    <row r="27" spans="1:52" s="265" customFormat="1" ht="15.75" customHeight="1">
      <c r="A27" s="289"/>
      <c r="B27" s="3519" t="s">
        <v>611</v>
      </c>
      <c r="C27" s="3520"/>
      <c r="D27" s="3520"/>
      <c r="E27" s="2628"/>
      <c r="H27" s="3465"/>
      <c r="I27" s="3466"/>
      <c r="J27" s="3466"/>
      <c r="K27" s="3467"/>
      <c r="L27" s="3540"/>
      <c r="M27" s="3541"/>
      <c r="N27" s="3542"/>
      <c r="O27" s="3543"/>
      <c r="P27" s="3526"/>
      <c r="Q27" s="3526"/>
      <c r="S27" s="3478"/>
      <c r="T27" s="3479"/>
      <c r="Y27" s="1807" t="s">
        <v>6657</v>
      </c>
      <c r="Z27" s="1773">
        <v>27</v>
      </c>
      <c r="AZ27" s="2782" t="s">
        <v>6658</v>
      </c>
    </row>
    <row r="28" spans="1:52" s="265" customFormat="1" ht="15.75" customHeight="1">
      <c r="A28" s="289"/>
      <c r="B28" s="3519" t="s">
        <v>769</v>
      </c>
      <c r="C28" s="3520"/>
      <c r="D28" s="3520"/>
      <c r="E28" s="2628"/>
      <c r="H28" s="3465" t="s">
        <v>6876</v>
      </c>
      <c r="I28" s="3466"/>
      <c r="J28" s="3466"/>
      <c r="K28" s="3467"/>
      <c r="L28" s="3540">
        <v>1514548</v>
      </c>
      <c r="M28" s="3541"/>
      <c r="N28" s="289"/>
      <c r="Q28" s="289"/>
      <c r="S28" s="3480"/>
      <c r="T28" s="3481"/>
      <c r="Y28" s="1807" t="s">
        <v>6658</v>
      </c>
      <c r="Z28" s="1773">
        <v>28</v>
      </c>
      <c r="AZ28" s="2782" t="s">
        <v>6659</v>
      </c>
    </row>
    <row r="29" spans="1:52" s="265" customFormat="1" ht="15.75" customHeight="1">
      <c r="A29" s="289"/>
      <c r="B29" s="3519" t="s">
        <v>770</v>
      </c>
      <c r="C29" s="3520"/>
      <c r="D29" s="3520"/>
      <c r="E29" s="2628"/>
      <c r="H29" s="3465" t="s">
        <v>6876</v>
      </c>
      <c r="I29" s="3466"/>
      <c r="J29" s="3466"/>
      <c r="K29" s="3467"/>
      <c r="L29" s="3540">
        <v>717300</v>
      </c>
      <c r="M29" s="3541"/>
      <c r="N29" s="289"/>
      <c r="Q29" s="289"/>
      <c r="S29" s="3517"/>
      <c r="T29" s="3518"/>
      <c r="Y29" s="1807" t="s">
        <v>6659</v>
      </c>
      <c r="Z29" s="1773">
        <v>29</v>
      </c>
      <c r="AZ29" s="2782" t="s">
        <v>6660</v>
      </c>
    </row>
    <row r="30" spans="1:52" s="265" customFormat="1" ht="15.75" customHeight="1">
      <c r="A30" s="289"/>
      <c r="B30" s="2627" t="s">
        <v>231</v>
      </c>
      <c r="C30" s="2628"/>
      <c r="D30" s="3493" t="s">
        <v>6872</v>
      </c>
      <c r="E30" s="3493"/>
      <c r="F30" s="3493"/>
      <c r="G30" s="3493"/>
      <c r="H30" s="3465"/>
      <c r="I30" s="3466"/>
      <c r="J30" s="3466"/>
      <c r="K30" s="3467"/>
      <c r="L30" s="3540">
        <v>100</v>
      </c>
      <c r="M30" s="3541"/>
      <c r="N30" s="289"/>
      <c r="Q30" s="289"/>
      <c r="S30" s="3478"/>
      <c r="T30" s="3479"/>
      <c r="Y30" s="1807" t="s">
        <v>6660</v>
      </c>
      <c r="Z30" s="1773">
        <v>30</v>
      </c>
      <c r="AZ30" s="2782" t="s">
        <v>6661</v>
      </c>
    </row>
    <row r="31" spans="1:52" s="265" customFormat="1" ht="15.75" customHeight="1">
      <c r="A31" s="289"/>
      <c r="B31" s="2627" t="s">
        <v>231</v>
      </c>
      <c r="C31" s="2628"/>
      <c r="D31" s="3494" t="s">
        <v>6873</v>
      </c>
      <c r="E31" s="3494"/>
      <c r="F31" s="3494"/>
      <c r="G31" s="3494"/>
      <c r="H31" s="3465"/>
      <c r="I31" s="3466"/>
      <c r="J31" s="3466"/>
      <c r="K31" s="3467"/>
      <c r="L31" s="3540">
        <v>10</v>
      </c>
      <c r="M31" s="3541"/>
      <c r="N31" s="289"/>
      <c r="S31" s="3478"/>
      <c r="T31" s="3479"/>
      <c r="Y31" s="1807" t="s">
        <v>6661</v>
      </c>
      <c r="Z31" s="1773">
        <v>31</v>
      </c>
      <c r="AZ31" s="2782" t="s">
        <v>6662</v>
      </c>
    </row>
    <row r="32" spans="1:52" s="265" customFormat="1" ht="15.75" customHeight="1">
      <c r="A32" s="289"/>
      <c r="B32" s="2630" t="s">
        <v>231</v>
      </c>
      <c r="C32" s="2631"/>
      <c r="D32" s="3482"/>
      <c r="E32" s="3482"/>
      <c r="F32" s="3482"/>
      <c r="G32" s="3482"/>
      <c r="H32" s="3483"/>
      <c r="I32" s="3484"/>
      <c r="J32" s="3484"/>
      <c r="K32" s="3485"/>
      <c r="L32" s="3544"/>
      <c r="M32" s="3545"/>
      <c r="N32" s="289"/>
      <c r="S32" s="3478"/>
      <c r="T32" s="3479"/>
      <c r="Y32" s="1807" t="s">
        <v>6662</v>
      </c>
      <c r="Z32" s="1773">
        <v>32</v>
      </c>
      <c r="AZ32" s="2782"/>
    </row>
    <row r="33" spans="1:52" s="265" customFormat="1" ht="16.5" customHeight="1">
      <c r="A33" s="289"/>
      <c r="B33" s="1662" t="s">
        <v>1250</v>
      </c>
      <c r="C33" s="289"/>
      <c r="D33" s="289"/>
      <c r="E33" s="289"/>
      <c r="F33" s="289"/>
      <c r="G33" s="289"/>
      <c r="H33" s="289"/>
      <c r="I33" s="289"/>
      <c r="L33" s="3546">
        <f>SUM(L22:L32)</f>
        <v>10373970</v>
      </c>
      <c r="M33" s="3547"/>
      <c r="N33" s="307"/>
      <c r="S33" s="3478"/>
      <c r="T33" s="3479"/>
      <c r="Y33" s="1807"/>
      <c r="Z33" s="1773">
        <v>33</v>
      </c>
      <c r="AZ33" s="2782"/>
    </row>
    <row r="34" spans="1:52" s="265" customFormat="1" ht="16.5" customHeight="1">
      <c r="A34" s="289"/>
      <c r="B34" s="2620" t="s">
        <v>1251</v>
      </c>
      <c r="C34" s="289"/>
      <c r="D34" s="289"/>
      <c r="E34" s="289"/>
      <c r="F34" s="289"/>
      <c r="G34" s="289"/>
      <c r="H34" s="289"/>
      <c r="I34" s="289"/>
      <c r="L34" s="354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10373970</v>
      </c>
      <c r="M34" s="3549"/>
      <c r="N34" s="752"/>
      <c r="S34" s="3478"/>
      <c r="T34" s="3479"/>
      <c r="Y34" s="1807"/>
      <c r="Z34" s="1773">
        <v>34</v>
      </c>
      <c r="AZ34" s="2782"/>
    </row>
    <row r="35" spans="1:52" s="265" customFormat="1" ht="16.5" customHeight="1">
      <c r="A35" s="289"/>
      <c r="B35" s="2621" t="s">
        <v>2063</v>
      </c>
      <c r="C35" s="289"/>
      <c r="D35" s="289"/>
      <c r="E35" s="289"/>
      <c r="F35" s="289"/>
      <c r="G35" s="289"/>
      <c r="H35" s="289"/>
      <c r="I35" s="289"/>
      <c r="L35" s="3550">
        <f>L33-L34</f>
        <v>0</v>
      </c>
      <c r="M35" s="3551"/>
      <c r="N35" s="752"/>
      <c r="S35" s="3480"/>
      <c r="T35" s="3481"/>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2007</v>
      </c>
      <c r="L38" s="2629" t="s">
        <v>1247</v>
      </c>
      <c r="M38" s="2629" t="s">
        <v>1252</v>
      </c>
      <c r="P38" s="3527" t="s">
        <v>31</v>
      </c>
      <c r="Q38" s="3527"/>
      <c r="S38" s="332"/>
      <c r="Y38" s="1807"/>
      <c r="Z38" s="1773">
        <v>38</v>
      </c>
      <c r="AZ38" s="2782"/>
    </row>
    <row r="39" spans="1:52" s="265" customFormat="1" ht="13.35" customHeight="1">
      <c r="A39" s="289"/>
      <c r="B39" s="2624" t="s">
        <v>1784</v>
      </c>
      <c r="C39" s="2631"/>
      <c r="D39" s="2631"/>
      <c r="E39" s="3162" t="s">
        <v>1249</v>
      </c>
      <c r="F39" s="3162"/>
      <c r="G39" s="3162"/>
      <c r="H39" s="3162"/>
      <c r="I39" s="3338" t="s">
        <v>4022</v>
      </c>
      <c r="J39" s="3338"/>
      <c r="K39" s="2618" t="s">
        <v>1722</v>
      </c>
      <c r="L39" s="2618" t="s">
        <v>2113</v>
      </c>
      <c r="M39" s="2618" t="s">
        <v>2113</v>
      </c>
      <c r="N39" s="3338" t="s">
        <v>69</v>
      </c>
      <c r="O39" s="3338"/>
      <c r="P39" s="3234"/>
      <c r="Q39" s="3234"/>
      <c r="S39" s="3528" t="s">
        <v>2537</v>
      </c>
      <c r="T39" s="3528"/>
      <c r="Y39" s="1807"/>
      <c r="Z39" s="1773">
        <v>39</v>
      </c>
      <c r="AZ39" s="2782" t="s">
        <v>6663</v>
      </c>
    </row>
    <row r="40" spans="1:52" s="265" customFormat="1" ht="15.75" customHeight="1">
      <c r="A40" s="289"/>
      <c r="B40" s="3531" t="s">
        <v>2490</v>
      </c>
      <c r="C40" s="3532"/>
      <c r="D40" s="3532"/>
      <c r="E40" s="3503" t="s">
        <v>6985</v>
      </c>
      <c r="F40" s="3504"/>
      <c r="G40" s="3504"/>
      <c r="H40" s="3505"/>
      <c r="I40" s="3498">
        <v>480000</v>
      </c>
      <c r="J40" s="3499"/>
      <c r="K40" s="2787">
        <v>2.1399999999999999E-2</v>
      </c>
      <c r="L40" s="2691">
        <v>10</v>
      </c>
      <c r="M40" s="2691">
        <v>10</v>
      </c>
      <c r="N40" s="3533" t="s">
        <v>6874</v>
      </c>
      <c r="O40" s="3533"/>
      <c r="P40" s="3497">
        <f>IF(OR(I40&lt;=0,I40=""),"",IF(N40="Cash Flow",0,IF(N40="Amortizing",-PMT(K40/12,M40*12,I40,0,0)*12,"")))</f>
        <v>53361.668851685332</v>
      </c>
      <c r="Q40" s="3497"/>
      <c r="S40" s="3517"/>
      <c r="T40" s="3518"/>
      <c r="Y40" s="1807" t="s">
        <v>6663</v>
      </c>
      <c r="Z40" s="1773">
        <v>40</v>
      </c>
      <c r="AZ40" s="2782" t="s">
        <v>6664</v>
      </c>
    </row>
    <row r="41" spans="1:52" s="265" customFormat="1" ht="15.75" customHeight="1">
      <c r="A41" s="289"/>
      <c r="B41" s="3519" t="s">
        <v>2491</v>
      </c>
      <c r="C41" s="3520"/>
      <c r="D41" s="3520"/>
      <c r="E41" s="3465"/>
      <c r="F41" s="3466"/>
      <c r="G41" s="3466"/>
      <c r="H41" s="3467"/>
      <c r="I41" s="3468"/>
      <c r="J41" s="3514"/>
      <c r="K41" s="2788"/>
      <c r="L41" s="2680"/>
      <c r="M41" s="2680"/>
      <c r="N41" s="3529"/>
      <c r="O41" s="3529"/>
      <c r="P41" s="3530" t="str">
        <f>IF(OR(I41&lt;=0,I41=""),"",IF(N41="Cash Flow",0,IF(N41="Amortizing",-PMT(K41/12,M41*12,I41,0,0)*12,"")))</f>
        <v/>
      </c>
      <c r="Q41" s="3530"/>
      <c r="S41" s="3478"/>
      <c r="T41" s="3479"/>
      <c r="Y41" s="1807" t="s">
        <v>6664</v>
      </c>
      <c r="Z41" s="1773">
        <v>41</v>
      </c>
      <c r="AZ41" s="2782" t="s">
        <v>6665</v>
      </c>
    </row>
    <row r="42" spans="1:52" s="265" customFormat="1" ht="15.75" customHeight="1">
      <c r="A42" s="289"/>
      <c r="B42" s="3519" t="s">
        <v>2492</v>
      </c>
      <c r="C42" s="3520"/>
      <c r="D42" s="3520"/>
      <c r="E42" s="3465"/>
      <c r="F42" s="3466"/>
      <c r="G42" s="3466"/>
      <c r="H42" s="3467"/>
      <c r="I42" s="3468"/>
      <c r="J42" s="3514"/>
      <c r="K42" s="2788"/>
      <c r="L42" s="2680"/>
      <c r="M42" s="2680"/>
      <c r="N42" s="3529"/>
      <c r="O42" s="3529"/>
      <c r="P42" s="3530" t="str">
        <f>IF(OR(I42&lt;=0,I42=""),"",IF(N42="Cash Flow",0,IF(N42="Amortizing",-PMT(K42/12,M42*12,I42,0,0)*12,"")))</f>
        <v/>
      </c>
      <c r="Q42" s="3530"/>
      <c r="S42" s="3478"/>
      <c r="T42" s="3479"/>
      <c r="Y42" s="1807" t="s">
        <v>6665</v>
      </c>
      <c r="Z42" s="1773">
        <v>42</v>
      </c>
      <c r="AZ42" s="2782" t="s">
        <v>6666</v>
      </c>
    </row>
    <row r="43" spans="1:52" s="265" customFormat="1" ht="15.75" customHeight="1">
      <c r="A43" s="289"/>
      <c r="B43" s="2627" t="s">
        <v>711</v>
      </c>
      <c r="C43" s="3508"/>
      <c r="D43" s="3509"/>
      <c r="E43" s="3465"/>
      <c r="F43" s="3466"/>
      <c r="G43" s="3466"/>
      <c r="H43" s="3467"/>
      <c r="I43" s="3510"/>
      <c r="J43" s="3511"/>
      <c r="K43" s="2789"/>
      <c r="L43" s="2693"/>
      <c r="M43" s="2693"/>
      <c r="N43" s="3513"/>
      <c r="O43" s="3513"/>
      <c r="P43" s="3512" t="str">
        <f>IF(OR(I43&lt;=0,I43=""),"",IF(N43="Cash Flow",0,IF(N43="Amortizing",-PMT(K43/12,M43*12,I43,0,0)*12,"")))</f>
        <v/>
      </c>
      <c r="Q43" s="3512"/>
      <c r="S43" s="3478"/>
      <c r="T43" s="3479"/>
      <c r="Y43" s="1807" t="s">
        <v>6666</v>
      </c>
      <c r="Z43" s="1773">
        <v>43</v>
      </c>
      <c r="AZ43" s="2782" t="s">
        <v>6667</v>
      </c>
    </row>
    <row r="44" spans="1:52" s="265" customFormat="1" ht="15.75" customHeight="1">
      <c r="A44" s="289"/>
      <c r="B44" s="2627" t="s">
        <v>4145</v>
      </c>
      <c r="C44" s="2628"/>
      <c r="D44" s="2633"/>
      <c r="E44" s="3465"/>
      <c r="F44" s="3466"/>
      <c r="G44" s="3466"/>
      <c r="H44" s="3467"/>
      <c r="I44" s="3468"/>
      <c r="J44" s="3514"/>
      <c r="K44" s="437"/>
      <c r="L44" s="2636"/>
      <c r="M44" s="2636"/>
      <c r="N44" s="3516"/>
      <c r="O44" s="3516"/>
      <c r="P44" s="3515"/>
      <c r="Q44" s="3515"/>
      <c r="S44" s="3478"/>
      <c r="T44" s="3479"/>
      <c r="Y44" s="1807" t="s">
        <v>6667</v>
      </c>
      <c r="Z44" s="1773">
        <v>44</v>
      </c>
      <c r="AZ44" s="2782" t="s">
        <v>6668</v>
      </c>
    </row>
    <row r="45" spans="1:52" s="265" customFormat="1" ht="15.75" customHeight="1">
      <c r="A45" s="289"/>
      <c r="B45" s="2630" t="s">
        <v>219</v>
      </c>
      <c r="C45" s="2631"/>
      <c r="D45" s="358">
        <f>IF(OR(I45="",I45=0,'Part IV-A-Uses of Funds'!$G$127="",'Part IV-A-Uses of Funds'!$G$127=0),"",I45/'Part IV-A-Uses of Funds'!$G$127)</f>
        <v>1.4479166666666666E-2</v>
      </c>
      <c r="E45" s="3483" t="s">
        <v>6859</v>
      </c>
      <c r="F45" s="3484"/>
      <c r="G45" s="3484"/>
      <c r="H45" s="3485"/>
      <c r="I45" s="3534">
        <v>17375</v>
      </c>
      <c r="J45" s="3535"/>
      <c r="K45" s="2790">
        <v>0</v>
      </c>
      <c r="L45" s="2679">
        <v>15</v>
      </c>
      <c r="M45" s="2679"/>
      <c r="N45" s="3538" t="s">
        <v>1122</v>
      </c>
      <c r="O45" s="3539"/>
      <c r="P45" s="3536">
        <f>IF(OR(I45&lt;=0,I45=""),"",IF(N45="Cash Flow",0,IF(N45="Amortizing",-PMT(K45/12,M45*12,I45,0,0)*12,"")))</f>
        <v>0</v>
      </c>
      <c r="Q45" s="3537"/>
      <c r="S45" s="3478"/>
      <c r="T45" s="3479"/>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78"/>
      <c r="T46" s="3479"/>
      <c r="Y46" s="1807"/>
      <c r="Z46" s="1773">
        <v>46</v>
      </c>
      <c r="AZ46" s="2782"/>
    </row>
    <row r="47" spans="1:52" s="265" customFormat="1" ht="14.25" customHeight="1">
      <c r="A47" s="289"/>
      <c r="B47" s="926" t="s">
        <v>3559</v>
      </c>
      <c r="C47" s="2628"/>
      <c r="E47" s="265" t="s">
        <v>3512</v>
      </c>
      <c r="F47" s="3472">
        <f>IF(OR($I$45="",$I$45=0,'Part VII-Pro Forma'!$S$35=0,'Part VII-Pro Forma'!$S$35=""),"",VLOOKUP($L$45,'Part VII-Pro Forma'!$Q$21:$S$40,3))</f>
        <v>83938.076181917713</v>
      </c>
      <c r="G47" s="3473"/>
      <c r="H47" s="552" t="s">
        <v>3558</v>
      </c>
      <c r="I47" s="3472">
        <f>IF(OR($I$45="",$I$45=0,'Part VII-Pro Forma'!$R$35=0,'Part VII-Pro Forma'!$R$35=""),"",VLOOKUP($L$45,'Part VII-Pro Forma'!$Q$21:$S$35,2))</f>
        <v>17375</v>
      </c>
      <c r="J47" s="3473"/>
      <c r="K47" s="552" t="s">
        <v>3560</v>
      </c>
      <c r="L47" s="3495">
        <f>IF(OR($F$47 = 0,$F$47 =""),"",$I$47/$F$47)</f>
        <v>0.20699783447911563</v>
      </c>
      <c r="M47" s="3496"/>
      <c r="N47" s="3476" t="s">
        <v>4029</v>
      </c>
      <c r="O47" s="3477"/>
      <c r="P47" s="3474">
        <f>IF(OR($I$62=0,$I$60&gt;$I$61),0,ABS($I$60-$I$61))</f>
        <v>0</v>
      </c>
      <c r="Q47" s="3475"/>
      <c r="S47" s="3478"/>
      <c r="T47" s="3479"/>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0"/>
      <c r="T48" s="3481"/>
      <c r="Y48" s="1807"/>
      <c r="Z48" s="1773">
        <v>48</v>
      </c>
      <c r="AZ48" s="2782" t="s">
        <v>6669</v>
      </c>
    </row>
    <row r="49" spans="1:52" s="265" customFormat="1" ht="15.75" customHeight="1">
      <c r="A49" s="289"/>
      <c r="B49" s="3500" t="s">
        <v>2114</v>
      </c>
      <c r="C49" s="3501"/>
      <c r="D49" s="3502"/>
      <c r="E49" s="3503"/>
      <c r="F49" s="3504"/>
      <c r="G49" s="3504"/>
      <c r="H49" s="3505"/>
      <c r="I49" s="3506"/>
      <c r="J49" s="3507"/>
      <c r="K49" s="359"/>
      <c r="L49" s="359"/>
      <c r="M49" s="359"/>
      <c r="N49" s="359"/>
      <c r="O49" s="359"/>
      <c r="P49" s="389" t="s">
        <v>491</v>
      </c>
      <c r="Q49" s="359"/>
      <c r="S49" s="3517"/>
      <c r="T49" s="3518"/>
      <c r="Y49" s="1807" t="s">
        <v>6669</v>
      </c>
      <c r="Z49" s="1773">
        <v>49</v>
      </c>
      <c r="AZ49" s="2782" t="s">
        <v>6670</v>
      </c>
    </row>
    <row r="50" spans="1:52" s="265" customFormat="1" ht="15.75" customHeight="1">
      <c r="A50" s="289"/>
      <c r="B50" s="3519" t="s">
        <v>768</v>
      </c>
      <c r="C50" s="3520"/>
      <c r="D50" s="3521"/>
      <c r="E50" s="3465"/>
      <c r="F50" s="3466"/>
      <c r="G50" s="3466"/>
      <c r="H50" s="3467"/>
      <c r="I50" s="3468"/>
      <c r="J50" s="3514"/>
      <c r="L50" s="3522" t="s">
        <v>492</v>
      </c>
      <c r="M50" s="3522"/>
      <c r="N50" s="3523" t="s">
        <v>493</v>
      </c>
      <c r="O50" s="3523"/>
      <c r="P50" s="390" t="s">
        <v>2441</v>
      </c>
      <c r="Q50" s="359"/>
      <c r="S50" s="3478"/>
      <c r="T50" s="3479"/>
      <c r="Y50" s="1807" t="s">
        <v>6670</v>
      </c>
      <c r="Z50" s="1773">
        <v>50</v>
      </c>
      <c r="AZ50" s="2782" t="s">
        <v>6671</v>
      </c>
    </row>
    <row r="51" spans="1:52" s="265" customFormat="1" ht="15.75" customHeight="1">
      <c r="A51" s="289"/>
      <c r="B51" s="3519" t="s">
        <v>769</v>
      </c>
      <c r="C51" s="3520"/>
      <c r="D51" s="3521"/>
      <c r="E51" s="3465" t="s">
        <v>6876</v>
      </c>
      <c r="F51" s="3466"/>
      <c r="G51" s="3466"/>
      <c r="H51" s="3467"/>
      <c r="I51" s="3468">
        <v>7649235</v>
      </c>
      <c r="J51" s="3468"/>
      <c r="L51" s="3524">
        <f>'Part IV-A-Uses of Funds'!$J$197*10*'Part IV-A-Uses of Funds'!$N$188</f>
        <v>7650000</v>
      </c>
      <c r="M51" s="3524"/>
      <c r="N51" s="3525">
        <f>I51-L51</f>
        <v>-765</v>
      </c>
      <c r="O51" s="3525"/>
      <c r="P51" s="391">
        <f>I51/I61</f>
        <v>0.65620817863000913</v>
      </c>
      <c r="Q51" s="359"/>
      <c r="S51" s="3478"/>
      <c r="T51" s="3479"/>
      <c r="Y51" s="1807" t="s">
        <v>6671</v>
      </c>
      <c r="Z51" s="1773">
        <v>51</v>
      </c>
      <c r="AZ51" s="2782" t="s">
        <v>6672</v>
      </c>
    </row>
    <row r="52" spans="1:52" s="265" customFormat="1" ht="15.75" customHeight="1">
      <c r="A52" s="289"/>
      <c r="B52" s="3519" t="s">
        <v>770</v>
      </c>
      <c r="C52" s="3520"/>
      <c r="D52" s="3521"/>
      <c r="E52" s="3465" t="s">
        <v>6876</v>
      </c>
      <c r="F52" s="3466"/>
      <c r="G52" s="3466"/>
      <c r="H52" s="3467"/>
      <c r="I52" s="3468">
        <v>3510000</v>
      </c>
      <c r="J52" s="3468"/>
      <c r="L52" s="3524">
        <f>'Part IV-A-Uses of Funds'!$J$197*10*'Part IV-A-Uses of Funds'!$Q$188</f>
        <v>3510000</v>
      </c>
      <c r="M52" s="3524"/>
      <c r="N52" s="3525">
        <f>I52-L52</f>
        <v>0</v>
      </c>
      <c r="O52" s="3525"/>
      <c r="P52" s="391">
        <f>I52/I61</f>
        <v>0.30111386393427997</v>
      </c>
      <c r="Q52" s="359"/>
      <c r="S52" s="3478"/>
      <c r="T52" s="3479"/>
      <c r="Y52" s="1807" t="s">
        <v>6672</v>
      </c>
      <c r="Z52" s="1773">
        <v>52</v>
      </c>
      <c r="AZ52" s="2782" t="s">
        <v>6673</v>
      </c>
    </row>
    <row r="53" spans="1:52" s="265" customFormat="1" ht="15.75" customHeight="1">
      <c r="A53" s="289"/>
      <c r="B53" s="3519" t="s">
        <v>1360</v>
      </c>
      <c r="C53" s="3520"/>
      <c r="D53" s="3521"/>
      <c r="E53" s="3465"/>
      <c r="F53" s="3466"/>
      <c r="G53" s="3466"/>
      <c r="H53" s="3467"/>
      <c r="I53" s="3468"/>
      <c r="J53" s="3468"/>
      <c r="P53" s="392">
        <f>SUM(P51:P52)</f>
        <v>0.9573220425642891</v>
      </c>
      <c r="Q53" s="359"/>
      <c r="S53" s="3480"/>
      <c r="T53" s="3481"/>
      <c r="Y53" s="1807" t="s">
        <v>6673</v>
      </c>
      <c r="Z53" s="1773">
        <v>53</v>
      </c>
      <c r="AZ53" s="2782"/>
    </row>
    <row r="54" spans="1:52" s="265" customFormat="1" ht="15.75" customHeight="1">
      <c r="A54" s="289"/>
      <c r="B54" s="2627" t="s">
        <v>506</v>
      </c>
      <c r="C54" s="2628"/>
      <c r="D54" s="2633"/>
      <c r="E54" s="3465"/>
      <c r="F54" s="3466"/>
      <c r="G54" s="3466"/>
      <c r="H54" s="3467"/>
      <c r="I54" s="3468"/>
      <c r="J54" s="3468"/>
      <c r="K54" s="289"/>
      <c r="Q54" s="359"/>
      <c r="S54" s="3478"/>
      <c r="T54" s="3479"/>
      <c r="Y54" s="1807"/>
      <c r="Z54" s="1773">
        <v>54</v>
      </c>
      <c r="AZ54" s="2782"/>
    </row>
    <row r="55" spans="1:52" s="265" customFormat="1" ht="15.75" customHeight="1">
      <c r="A55" s="289"/>
      <c r="B55" s="2627" t="s">
        <v>1782</v>
      </c>
      <c r="C55" s="2628"/>
      <c r="D55" s="2633"/>
      <c r="E55" s="3465"/>
      <c r="F55" s="3466"/>
      <c r="G55" s="3466"/>
      <c r="H55" s="3467"/>
      <c r="I55" s="3468"/>
      <c r="J55" s="3468"/>
      <c r="N55" s="360"/>
      <c r="O55" s="360"/>
      <c r="P55" s="360"/>
      <c r="Q55" s="359"/>
      <c r="S55" s="3478"/>
      <c r="T55" s="3479"/>
      <c r="Y55" s="1807"/>
      <c r="Z55" s="1773">
        <v>55</v>
      </c>
      <c r="AZ55" s="2782"/>
    </row>
    <row r="56" spans="1:52" s="265" customFormat="1" ht="15.75" customHeight="1">
      <c r="A56" s="289"/>
      <c r="B56" s="2627" t="s">
        <v>1783</v>
      </c>
      <c r="C56" s="2628"/>
      <c r="D56" s="2633"/>
      <c r="E56" s="3465"/>
      <c r="F56" s="3466"/>
      <c r="G56" s="3466"/>
      <c r="H56" s="3467"/>
      <c r="I56" s="3468"/>
      <c r="J56" s="3468"/>
      <c r="M56" s="360"/>
      <c r="N56" s="360"/>
      <c r="O56" s="360"/>
      <c r="P56" s="360"/>
      <c r="Q56" s="359"/>
      <c r="S56" s="3478"/>
      <c r="T56" s="3479"/>
      <c r="Y56" s="1807"/>
      <c r="Z56" s="1773">
        <v>56</v>
      </c>
      <c r="AZ56" s="2782" t="s">
        <v>6674</v>
      </c>
    </row>
    <row r="57" spans="1:52" s="265" customFormat="1" ht="15.75" customHeight="1">
      <c r="A57" s="289"/>
      <c r="B57" s="2627" t="s">
        <v>711</v>
      </c>
      <c r="C57" s="3493" t="s">
        <v>6872</v>
      </c>
      <c r="D57" s="3493"/>
      <c r="E57" s="3465"/>
      <c r="F57" s="3466"/>
      <c r="G57" s="3466"/>
      <c r="H57" s="3467"/>
      <c r="I57" s="3468">
        <v>100</v>
      </c>
      <c r="J57" s="3468"/>
      <c r="M57" s="360"/>
      <c r="N57" s="360"/>
      <c r="O57" s="360"/>
      <c r="P57" s="360"/>
      <c r="Q57" s="359"/>
      <c r="S57" s="3478"/>
      <c r="T57" s="3479"/>
      <c r="Y57" s="1807" t="s">
        <v>6674</v>
      </c>
      <c r="Z57" s="1773">
        <v>57</v>
      </c>
      <c r="AZ57" s="2782" t="s">
        <v>6675</v>
      </c>
    </row>
    <row r="58" spans="1:52" s="265" customFormat="1" ht="15.75" customHeight="1">
      <c r="A58" s="289"/>
      <c r="B58" s="2627" t="s">
        <v>711</v>
      </c>
      <c r="C58" s="3494" t="s">
        <v>6873</v>
      </c>
      <c r="D58" s="3494"/>
      <c r="E58" s="3465"/>
      <c r="F58" s="3466"/>
      <c r="G58" s="3466"/>
      <c r="H58" s="3467"/>
      <c r="I58" s="3468">
        <v>10</v>
      </c>
      <c r="J58" s="3468"/>
      <c r="K58" s="289"/>
      <c r="L58" s="361"/>
      <c r="M58" s="360"/>
      <c r="N58" s="360"/>
      <c r="O58" s="360"/>
      <c r="P58" s="360"/>
      <c r="Q58" s="359"/>
      <c r="S58" s="3478"/>
      <c r="T58" s="3479"/>
      <c r="Y58" s="1807" t="s">
        <v>6675</v>
      </c>
      <c r="Z58" s="1773">
        <v>58</v>
      </c>
      <c r="AZ58" s="2782" t="s">
        <v>6676</v>
      </c>
    </row>
    <row r="59" spans="1:52" s="265" customFormat="1" ht="15.75" customHeight="1">
      <c r="A59" s="289"/>
      <c r="B59" s="2630" t="s">
        <v>711</v>
      </c>
      <c r="C59" s="3482"/>
      <c r="D59" s="3482"/>
      <c r="E59" s="3483"/>
      <c r="F59" s="3484"/>
      <c r="G59" s="3484"/>
      <c r="H59" s="3485"/>
      <c r="I59" s="3486"/>
      <c r="J59" s="3486"/>
      <c r="K59" s="289"/>
      <c r="L59" s="361"/>
      <c r="M59" s="360"/>
      <c r="N59" s="360"/>
      <c r="O59" s="360"/>
      <c r="P59" s="360"/>
      <c r="Q59" s="359"/>
      <c r="S59" s="3478"/>
      <c r="T59" s="3479"/>
      <c r="Y59" s="1807" t="s">
        <v>6676</v>
      </c>
      <c r="Z59" s="1773">
        <v>59</v>
      </c>
      <c r="AZ59" s="2782"/>
    </row>
    <row r="60" spans="1:52" s="265" customFormat="1" ht="14.25" customHeight="1">
      <c r="A60" s="289"/>
      <c r="B60" s="2620" t="s">
        <v>2115</v>
      </c>
      <c r="C60" s="289"/>
      <c r="D60" s="289"/>
      <c r="E60" s="289"/>
      <c r="F60" s="289"/>
      <c r="G60" s="289"/>
      <c r="I60" s="3487">
        <f>SUM(I40:J45)+SUM(I49:J59)</f>
        <v>11656720</v>
      </c>
      <c r="J60" s="3488"/>
      <c r="K60" s="289"/>
      <c r="L60" s="361"/>
      <c r="M60" s="360"/>
      <c r="N60" s="360"/>
      <c r="O60" s="360"/>
      <c r="P60" s="360"/>
      <c r="Q60" s="359"/>
      <c r="S60" s="3478"/>
      <c r="T60" s="3479"/>
      <c r="Y60" s="1807"/>
      <c r="Z60" s="1773">
        <v>60</v>
      </c>
      <c r="AZ60" s="2782"/>
    </row>
    <row r="61" spans="1:52" s="265" customFormat="1" ht="14.25" customHeight="1" thickBot="1">
      <c r="A61" s="289"/>
      <c r="B61" s="2620" t="s">
        <v>2116</v>
      </c>
      <c r="C61" s="289"/>
      <c r="D61" s="289"/>
      <c r="E61" s="289"/>
      <c r="F61" s="289"/>
      <c r="G61" s="289"/>
      <c r="I61" s="3489">
        <f>'Part IV-A-Uses of Funds'!$G$146</f>
        <v>11656720</v>
      </c>
      <c r="J61" s="3490"/>
      <c r="K61" s="289"/>
      <c r="L61" s="361"/>
      <c r="M61" s="360"/>
      <c r="N61" s="360"/>
      <c r="O61" s="360"/>
      <c r="P61" s="360"/>
      <c r="Q61" s="359"/>
      <c r="S61" s="3478"/>
      <c r="T61" s="3479"/>
      <c r="Y61" s="1807"/>
      <c r="Z61" s="1773">
        <v>61</v>
      </c>
      <c r="AZ61" s="2782"/>
    </row>
    <row r="62" spans="1:52" s="265" customFormat="1" ht="14.25" customHeight="1" thickBot="1">
      <c r="A62" s="289"/>
      <c r="B62" s="2621" t="s">
        <v>1464</v>
      </c>
      <c r="C62" s="289"/>
      <c r="D62" s="289"/>
      <c r="E62" s="289"/>
      <c r="F62" s="289"/>
      <c r="G62" s="289"/>
      <c r="I62" s="3491">
        <f>I60-I61</f>
        <v>0</v>
      </c>
      <c r="J62" s="3492"/>
      <c r="K62" s="289"/>
      <c r="L62" s="361"/>
      <c r="M62" s="360"/>
      <c r="N62" s="360"/>
      <c r="O62" s="360"/>
      <c r="P62" s="360"/>
      <c r="Q62" s="359"/>
      <c r="S62" s="3480"/>
      <c r="T62" s="3481"/>
      <c r="Y62" s="1807"/>
      <c r="Z62" s="1773">
        <v>62</v>
      </c>
      <c r="AZ62" s="2782"/>
    </row>
    <row r="63" spans="1:52" s="265" customFormat="1" ht="13.35" customHeight="1">
      <c r="A63" s="289" t="s">
        <v>4146</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1" t="s">
        <v>6979</v>
      </c>
      <c r="B66" s="3471"/>
      <c r="C66" s="3471"/>
      <c r="D66" s="3471"/>
      <c r="E66" s="3471"/>
      <c r="F66" s="3471"/>
      <c r="G66" s="3471"/>
      <c r="H66" s="3471"/>
      <c r="I66" s="3471"/>
      <c r="J66" s="3471"/>
      <c r="K66" s="3471"/>
      <c r="L66" s="3471"/>
      <c r="M66" s="3470"/>
      <c r="N66" s="3470"/>
      <c r="O66" s="3470"/>
      <c r="P66" s="3470"/>
      <c r="Q66" s="3470"/>
      <c r="S66" s="3469" t="s">
        <v>2542</v>
      </c>
      <c r="T66" s="346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Jwa9Dcep25UXh+V0xGvZJSdPAyQWRMlzmadxEloN8RDdG4WqoebpRNs3LQIyFDDQdftpzFNzwvuvIpq9ePcLmw==" saltValue="I+hwehfsZwZGY5OjTc83u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72" priority="6" stopIfTrue="1" operator="equal">
      <formula>"Make a selection FIRST --&gt;"</formula>
    </cfRule>
  </conditionalFormatting>
  <conditionalFormatting sqref="D45">
    <cfRule type="cellIs" dxfId="71" priority="3" operator="greaterThan">
      <formula>50.000001%</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2" t="e">
        <f>CONCATENATE("PART III B: USD 538 LOAN","  -  ",#REF!," ",#REF!,", ",#REF!,", ",#REF!," County")</f>
        <v>#REF!</v>
      </c>
      <c r="B1" s="3593"/>
      <c r="C1" s="3593"/>
      <c r="D1" s="3593"/>
      <c r="E1" s="3593"/>
      <c r="F1" s="359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1" t="s">
        <v>209</v>
      </c>
      <c r="B3" s="3601"/>
      <c r="C3" s="3601"/>
      <c r="D3" s="3601"/>
      <c r="E3" s="3601"/>
      <c r="F3" s="3601"/>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2" t="s">
        <v>121</v>
      </c>
      <c r="B14" s="3602"/>
      <c r="C14" s="3602"/>
      <c r="D14" s="3602"/>
      <c r="E14" s="3602"/>
      <c r="F14" s="3602"/>
      <c r="G14" s="191"/>
      <c r="H14" s="191"/>
    </row>
    <row r="15" spans="1:17" ht="5.45" customHeight="1">
      <c r="A15" s="28"/>
      <c r="E15" s="202"/>
      <c r="F15" s="191"/>
      <c r="G15" s="191"/>
      <c r="H15" s="191"/>
    </row>
    <row r="16" spans="1:17" ht="13.35" customHeight="1">
      <c r="A16" s="204" t="s">
        <v>2368</v>
      </c>
      <c r="B16" s="205" t="s">
        <v>2365</v>
      </c>
      <c r="C16" s="205" t="s">
        <v>2366</v>
      </c>
      <c r="D16" s="3598" t="s">
        <v>2151</v>
      </c>
      <c r="E16" s="3598"/>
      <c r="F16" s="191"/>
      <c r="G16" s="191"/>
      <c r="H16" s="191"/>
    </row>
    <row r="17" spans="1:8" ht="12.6" customHeight="1">
      <c r="A17" s="80">
        <v>1</v>
      </c>
      <c r="B17" s="180">
        <f>IF(A17&gt;$C$9,0,SUM(C64:C75)*($C$6/$C$7))</f>
        <v>0</v>
      </c>
      <c r="C17" s="203">
        <f>IF(A17&gt;C9,0,(E63+K63)*$C$8)</f>
        <v>0</v>
      </c>
      <c r="D17" s="3603">
        <f t="shared" ref="D17:D56" si="0">IF(A17&gt;$C$9,0,$C$11+C17)</f>
        <v>0</v>
      </c>
      <c r="E17" s="3603"/>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7">
        <f t="shared" si="0"/>
        <v>0</v>
      </c>
      <c r="E37" s="3597"/>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7">
        <f t="shared" si="0"/>
        <v>0</v>
      </c>
      <c r="E42" s="3597"/>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7">
        <f t="shared" si="0"/>
        <v>0</v>
      </c>
      <c r="E47" s="3597"/>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7">
        <f t="shared" si="0"/>
        <v>0</v>
      </c>
      <c r="E52" s="3597"/>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9" t="e">
        <f>CONCATENATE(#REF!," ",#REF!,", ",#REF!,", ",#REF!," County")</f>
        <v>#REF!</v>
      </c>
      <c r="B58" s="3599"/>
      <c r="C58" s="3599"/>
      <c r="D58" s="3599"/>
      <c r="E58" s="3599"/>
      <c r="F58" s="3599"/>
      <c r="G58" s="3599" t="e">
        <f>CONCATENATE(#REF!," ",#REF!,", ",#REF!,", ",#REF!," County")</f>
        <v>#REF!</v>
      </c>
      <c r="H58" s="3599"/>
      <c r="I58" s="3599"/>
      <c r="J58" s="3599"/>
      <c r="K58" s="3599"/>
      <c r="L58" s="3599"/>
    </row>
    <row r="59" spans="1:12" ht="15">
      <c r="A59" s="3600" t="s">
        <v>2359</v>
      </c>
      <c r="B59" s="3600"/>
      <c r="C59" s="3600"/>
      <c r="D59" s="3600"/>
      <c r="E59" s="3600"/>
      <c r="F59" s="3600"/>
      <c r="G59" s="3600" t="s">
        <v>2359</v>
      </c>
      <c r="H59" s="3600"/>
      <c r="I59" s="3600"/>
      <c r="J59" s="3600"/>
      <c r="K59" s="3600"/>
      <c r="L59" s="3600"/>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2" t="e">
        <f>CONCATENATE("PART III C  - HUD INSURED LOAN","  -  ",#REF!," ",#REF!,", ",#REF!,", ",#REF!," County")</f>
        <v>#REF!</v>
      </c>
      <c r="B1" s="3593"/>
      <c r="C1" s="3593"/>
      <c r="D1" s="3593"/>
      <c r="E1" s="3593"/>
      <c r="F1" s="3594"/>
      <c r="G1" s="160"/>
      <c r="H1" s="160"/>
      <c r="I1" s="160"/>
      <c r="J1" s="160"/>
      <c r="K1" s="160"/>
      <c r="L1" s="160"/>
      <c r="M1" s="160"/>
      <c r="N1" s="160"/>
      <c r="O1" s="160"/>
      <c r="P1" s="160"/>
      <c r="Q1" s="160"/>
    </row>
    <row r="2" spans="1:17">
      <c r="A2" s="13"/>
      <c r="B2" s="179"/>
      <c r="C2" s="179"/>
      <c r="D2" s="179"/>
    </row>
    <row r="3" spans="1:17" ht="15.6" customHeight="1">
      <c r="A3" s="3601" t="s">
        <v>209</v>
      </c>
      <c r="B3" s="3601"/>
      <c r="C3" s="3601"/>
      <c r="D3" s="3601"/>
      <c r="E3" s="3601"/>
      <c r="F3" s="3601"/>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2" t="s">
        <v>1640</v>
      </c>
      <c r="B24" s="3602"/>
      <c r="C24" s="3602"/>
      <c r="D24" s="3602"/>
      <c r="E24" s="3602"/>
      <c r="F24" s="3602"/>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9" t="e">
        <f>CONCATENATE(#REF!," ",#REF!,", ",#REF!,", ",#REF!," County")</f>
        <v>#REF!</v>
      </c>
      <c r="B50" s="3599"/>
      <c r="C50" s="3599"/>
      <c r="D50" s="3599"/>
      <c r="E50" s="3599"/>
      <c r="F50" s="3599"/>
      <c r="G50" s="212"/>
      <c r="H50" s="212"/>
    </row>
    <row r="51" spans="1:10" ht="15">
      <c r="A51" s="3600" t="s">
        <v>2359</v>
      </c>
      <c r="B51" s="3600"/>
      <c r="C51" s="3600"/>
      <c r="D51" s="3600"/>
      <c r="E51" s="3600"/>
      <c r="F51" s="3600"/>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0" zoomScale="106" zoomScaleNormal="106" workbookViewId="0">
      <selection activeCell="A120"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745" t="str">
        <f>CONCATENATE("PART FOUR (A):  USES OF FUNDS","  -  ",'Part I-Project Information'!$O$7," ",'Part I-Project Information'!$F$35,", ",'Part I-Project Information'!F39,", ",'Part I-Project Information'!J40," County")</f>
        <v>PART FOUR (A):  USES OF FUNDS  -  2021-014 Dunbar Court, Byron, Peach County</v>
      </c>
      <c r="B2" s="3746"/>
      <c r="C2" s="3746"/>
      <c r="D2" s="3746"/>
      <c r="E2" s="3746"/>
      <c r="F2" s="3746"/>
      <c r="G2" s="3746"/>
      <c r="H2" s="3746"/>
      <c r="I2" s="3746"/>
      <c r="J2" s="3746"/>
      <c r="K2" s="3746"/>
      <c r="L2" s="3746"/>
      <c r="M2" s="3746"/>
      <c r="N2" s="3746"/>
      <c r="O2" s="3746"/>
      <c r="P2" s="3746"/>
      <c r="Q2" s="3746"/>
      <c r="R2" s="3746"/>
      <c r="S2" s="3746"/>
      <c r="T2" s="3746"/>
      <c r="W2" s="3747" t="str">
        <f>A2</f>
        <v>PART FOUR (A):  USES OF FUNDS  -  2021-014 Dunbar Court, Byron, Peach County</v>
      </c>
      <c r="X2" s="374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3" t="str">
        <f>'Part I-Project Information'!$B$7</f>
        <v>2021 Core Application</v>
      </c>
      <c r="E6" s="3633"/>
      <c r="F6" s="3633"/>
      <c r="G6" s="3633"/>
      <c r="H6" s="3633"/>
      <c r="I6" s="455"/>
      <c r="J6" s="3689" t="s">
        <v>260</v>
      </c>
      <c r="K6" s="3690"/>
      <c r="L6" s="337"/>
      <c r="M6" s="3715" t="s">
        <v>468</v>
      </c>
      <c r="N6" s="3716"/>
      <c r="P6" s="3689" t="s">
        <v>261</v>
      </c>
      <c r="Q6" s="3690"/>
      <c r="S6" s="3689" t="s">
        <v>262</v>
      </c>
      <c r="T6" s="3690"/>
      <c r="V6" s="411" t="str">
        <f>B6</f>
        <v>DEVELOPMENT BUDGET</v>
      </c>
      <c r="AZ6" s="1808"/>
      <c r="BA6" s="1773">
        <v>6</v>
      </c>
    </row>
    <row r="7" spans="1:53" s="289" customFormat="1" ht="19.5" customHeight="1" thickBot="1">
      <c r="D7" s="1311"/>
      <c r="E7" s="1311"/>
      <c r="F7" s="1311"/>
      <c r="G7" s="3719" t="s">
        <v>94</v>
      </c>
      <c r="H7" s="3720"/>
      <c r="J7" s="3691"/>
      <c r="K7" s="3692"/>
      <c r="L7" s="337"/>
      <c r="M7" s="3717"/>
      <c r="N7" s="3718"/>
      <c r="P7" s="3691"/>
      <c r="Q7" s="3692"/>
      <c r="S7" s="3691"/>
      <c r="T7" s="3692"/>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2">
        <v>6500</v>
      </c>
      <c r="H9" s="3553"/>
      <c r="J9" s="3552">
        <v>6500</v>
      </c>
      <c r="K9" s="3553"/>
      <c r="L9" s="2644"/>
      <c r="M9" s="3552"/>
      <c r="N9" s="3553"/>
      <c r="P9" s="3552"/>
      <c r="Q9" s="3553"/>
      <c r="S9" s="3552"/>
      <c r="T9" s="3553"/>
      <c r="V9" s="2799"/>
      <c r="W9" s="3627"/>
      <c r="X9" s="3628"/>
      <c r="AZ9" s="1808"/>
      <c r="BA9" s="1773">
        <v>9</v>
      </c>
    </row>
    <row r="10" spans="1:53" s="289" customFormat="1" ht="11.25" customHeight="1">
      <c r="B10" s="289" t="s">
        <v>437</v>
      </c>
      <c r="G10" s="3540">
        <v>10000</v>
      </c>
      <c r="H10" s="3541"/>
      <c r="J10" s="3540">
        <v>10000</v>
      </c>
      <c r="K10" s="3541"/>
      <c r="L10" s="2644"/>
      <c r="M10" s="3540"/>
      <c r="N10" s="3541"/>
      <c r="P10" s="3540"/>
      <c r="Q10" s="3541"/>
      <c r="S10" s="3540"/>
      <c r="T10" s="3541"/>
      <c r="V10" s="2799"/>
      <c r="W10" s="3627"/>
      <c r="X10" s="3628"/>
      <c r="AZ10" s="1808"/>
      <c r="BA10" s="1773">
        <v>10</v>
      </c>
    </row>
    <row r="11" spans="1:53" s="289" customFormat="1" ht="11.25" customHeight="1">
      <c r="B11" s="289" t="s">
        <v>466</v>
      </c>
      <c r="G11" s="3540">
        <v>12000</v>
      </c>
      <c r="H11" s="3541"/>
      <c r="J11" s="3540">
        <v>12000</v>
      </c>
      <c r="K11" s="3541"/>
      <c r="L11" s="2644"/>
      <c r="M11" s="3540"/>
      <c r="N11" s="3541"/>
      <c r="P11" s="3540"/>
      <c r="Q11" s="3541"/>
      <c r="S11" s="3540"/>
      <c r="T11" s="3541"/>
      <c r="V11" s="2799"/>
      <c r="W11" s="3627"/>
      <c r="X11" s="3628"/>
      <c r="AZ11" s="1808"/>
      <c r="BA11" s="1773">
        <v>11</v>
      </c>
    </row>
    <row r="12" spans="1:53" s="289" customFormat="1" ht="11.25" customHeight="1">
      <c r="B12" s="289" t="s">
        <v>467</v>
      </c>
      <c r="G12" s="3540">
        <v>10000</v>
      </c>
      <c r="H12" s="3541"/>
      <c r="J12" s="3540">
        <v>10000</v>
      </c>
      <c r="K12" s="3541"/>
      <c r="L12" s="2644"/>
      <c r="M12" s="3540"/>
      <c r="N12" s="3541"/>
      <c r="P12" s="3540"/>
      <c r="Q12" s="3541"/>
      <c r="S12" s="3540"/>
      <c r="T12" s="3541"/>
      <c r="V12" s="2799"/>
      <c r="W12" s="3627"/>
      <c r="X12" s="3628"/>
      <c r="AZ12" s="1808"/>
      <c r="BA12" s="1773">
        <v>12</v>
      </c>
    </row>
    <row r="13" spans="1:53" s="289" customFormat="1" ht="11.25" customHeight="1">
      <c r="B13" s="289" t="s">
        <v>2385</v>
      </c>
      <c r="G13" s="3540">
        <v>15000</v>
      </c>
      <c r="H13" s="3541"/>
      <c r="J13" s="3540">
        <v>15000</v>
      </c>
      <c r="K13" s="3541"/>
      <c r="L13" s="2644"/>
      <c r="M13" s="3540"/>
      <c r="N13" s="3541"/>
      <c r="P13" s="3540"/>
      <c r="Q13" s="3541"/>
      <c r="S13" s="3540"/>
      <c r="T13" s="3541"/>
      <c r="V13" s="2799"/>
      <c r="W13" s="3627"/>
      <c r="X13" s="3628"/>
      <c r="AZ13" s="1808"/>
      <c r="BA13" s="1773">
        <v>13</v>
      </c>
    </row>
    <row r="14" spans="1:53" s="289" customFormat="1" ht="11.25" customHeight="1">
      <c r="B14" s="289" t="s">
        <v>182</v>
      </c>
      <c r="G14" s="3540"/>
      <c r="H14" s="3541"/>
      <c r="J14" s="3540"/>
      <c r="K14" s="3541"/>
      <c r="L14" s="2644"/>
      <c r="M14" s="3540"/>
      <c r="N14" s="3541"/>
      <c r="P14" s="3540"/>
      <c r="Q14" s="3541"/>
      <c r="S14" s="3540"/>
      <c r="T14" s="3541"/>
      <c r="V14" s="2799"/>
      <c r="W14" s="3627"/>
      <c r="X14" s="3628"/>
      <c r="AZ14" s="1808"/>
      <c r="BA14" s="1773">
        <v>14</v>
      </c>
    </row>
    <row r="15" spans="1:53" s="289" customFormat="1" ht="11.25" customHeight="1">
      <c r="A15" s="363" t="str">
        <f>IF(AND(G15&gt;0,OR(C15="",C15="&lt;Enter detailed description here; use Comments section if needed&gt;")),"X","")</f>
        <v/>
      </c>
      <c r="B15" s="170" t="s">
        <v>6576</v>
      </c>
      <c r="C15" s="3704" t="s">
        <v>3343</v>
      </c>
      <c r="D15" s="3704"/>
      <c r="E15" s="3704"/>
      <c r="F15" s="3705"/>
      <c r="G15" s="3540"/>
      <c r="H15" s="3541"/>
      <c r="J15" s="3540"/>
      <c r="K15" s="3541"/>
      <c r="L15" s="2644"/>
      <c r="M15" s="3540"/>
      <c r="N15" s="3541"/>
      <c r="P15" s="3540"/>
      <c r="Q15" s="3541"/>
      <c r="S15" s="3540"/>
      <c r="T15" s="3541"/>
      <c r="U15" s="362" t="str">
        <f>IF(AND(G15&gt;0,OR(C15="",C15="&lt;Enter detailed description here; use Comments section if needed&gt;")),"NO DESCRIPTION PROVIDED - please enter detailed description in Other box at left; use Comments section below if needed.","")</f>
        <v/>
      </c>
      <c r="V15" s="2800"/>
      <c r="W15" s="3627"/>
      <c r="X15" s="3628"/>
      <c r="AZ15" s="1808" t="s">
        <v>6677</v>
      </c>
      <c r="BA15" s="1773">
        <v>15</v>
      </c>
    </row>
    <row r="16" spans="1:53" s="289" customFormat="1" ht="11.25" customHeight="1">
      <c r="A16" s="363" t="str">
        <f>IF(AND(G16&gt;0,OR(C16="",C16="&lt;Enter detailed description here; use Comments section if needed&gt;")),"X","")</f>
        <v/>
      </c>
      <c r="B16" s="170" t="s">
        <v>6577</v>
      </c>
      <c r="C16" s="3704" t="s">
        <v>3343</v>
      </c>
      <c r="D16" s="3704"/>
      <c r="E16" s="3704"/>
      <c r="F16" s="3705"/>
      <c r="G16" s="3540"/>
      <c r="H16" s="3541"/>
      <c r="J16" s="3540"/>
      <c r="K16" s="3541"/>
      <c r="L16" s="2644"/>
      <c r="M16" s="3540"/>
      <c r="N16" s="3541"/>
      <c r="P16" s="3540"/>
      <c r="Q16" s="3541"/>
      <c r="S16" s="3540"/>
      <c r="T16" s="3541"/>
      <c r="U16" s="362" t="str">
        <f>IF(AND(G16&gt;0,OR(C16="",C16="&lt;Enter detailed description here; use Comments section if needed&gt;")),"NO DESCRIPTION PROVIDED - please enter detailed description in Other box at left; use Comments section below if needed.","")</f>
        <v/>
      </c>
      <c r="V16" s="2800"/>
      <c r="W16" s="3627"/>
      <c r="X16" s="3628"/>
      <c r="AZ16" s="1808" t="s">
        <v>6678</v>
      </c>
      <c r="BA16" s="1773">
        <v>16</v>
      </c>
    </row>
    <row r="17" spans="1:53" s="289" customFormat="1" ht="11.25" customHeight="1" thickBot="1">
      <c r="A17" s="363" t="str">
        <f>IF(AND(G17&gt;0,OR(C17="",C17="&lt;Enter detailed description here; use Comments section if needed&gt;")),"X","")</f>
        <v/>
      </c>
      <c r="B17" s="170" t="s">
        <v>6578</v>
      </c>
      <c r="C17" s="3704" t="s">
        <v>3343</v>
      </c>
      <c r="D17" s="3704"/>
      <c r="E17" s="3704"/>
      <c r="F17" s="3705"/>
      <c r="G17" s="3709"/>
      <c r="H17" s="3710"/>
      <c r="J17" s="3709"/>
      <c r="K17" s="3710"/>
      <c r="L17" s="2644"/>
      <c r="M17" s="3709"/>
      <c r="N17" s="3710"/>
      <c r="P17" s="3709"/>
      <c r="Q17" s="3710"/>
      <c r="S17" s="3709"/>
      <c r="T17" s="3710"/>
      <c r="U17" s="362" t="str">
        <f>IF(AND(G17&gt;0,OR(C17="",C17="&lt;Enter detailed description here; use Comments section if needed&gt;")),"NO DESCRIPTION PROVIDED - please enter detailed description in Other box at left; use Comments section below if needed.","")</f>
        <v/>
      </c>
      <c r="V17" s="2800"/>
      <c r="W17" s="3629"/>
      <c r="X17" s="3630"/>
      <c r="AZ17" s="1808" t="s">
        <v>6679</v>
      </c>
      <c r="BA17" s="1773">
        <v>17</v>
      </c>
    </row>
    <row r="18" spans="1:53" s="289" customFormat="1" ht="12.6" customHeight="1" thickTop="1">
      <c r="F18" s="338" t="s">
        <v>183</v>
      </c>
      <c r="G18" s="3706">
        <f>SUM(G9:G17)</f>
        <v>53500</v>
      </c>
      <c r="H18" s="3707"/>
      <c r="J18" s="3706">
        <f>SUM(J9:J17)</f>
        <v>53500</v>
      </c>
      <c r="K18" s="3707"/>
      <c r="L18" s="2644"/>
      <c r="M18" s="3706">
        <f>SUM(M9:M17)</f>
        <v>0</v>
      </c>
      <c r="N18" s="3707"/>
      <c r="P18" s="3706">
        <f>SUM(P9:P17)</f>
        <v>0</v>
      </c>
      <c r="Q18" s="3707"/>
      <c r="S18" s="3706">
        <f>SUM(S9:S17)</f>
        <v>0</v>
      </c>
      <c r="T18" s="3707"/>
      <c r="V18" s="2801">
        <f>SUM(V9:V17)</f>
        <v>0</v>
      </c>
      <c r="W18" s="3645"/>
      <c r="X18" s="3646"/>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64318.226795962793</v>
      </c>
      <c r="G20" s="3552">
        <v>650000</v>
      </c>
      <c r="H20" s="3553"/>
      <c r="J20" s="340"/>
      <c r="K20" s="337"/>
      <c r="L20" s="340"/>
      <c r="M20" s="340"/>
      <c r="N20" s="337"/>
      <c r="P20" s="340"/>
      <c r="Q20" s="337"/>
      <c r="S20" s="3552">
        <v>650000</v>
      </c>
      <c r="T20" s="3553"/>
      <c r="V20" s="2799"/>
      <c r="W20" s="3627"/>
      <c r="X20" s="3628"/>
      <c r="AZ20" s="1808"/>
      <c r="BA20" s="1773">
        <v>20</v>
      </c>
    </row>
    <row r="21" spans="1:53" s="289" customFormat="1" ht="11.25" customHeight="1">
      <c r="B21" s="289" t="s">
        <v>1079</v>
      </c>
      <c r="G21" s="3540"/>
      <c r="H21" s="3541"/>
      <c r="J21" s="340"/>
      <c r="K21" s="337"/>
      <c r="L21" s="340"/>
      <c r="M21" s="340"/>
      <c r="N21" s="337"/>
      <c r="P21" s="340"/>
      <c r="Q21" s="337"/>
      <c r="S21" s="3540"/>
      <c r="T21" s="3541"/>
      <c r="V21" s="2799"/>
      <c r="W21" s="3627"/>
      <c r="X21" s="3628"/>
      <c r="AZ21" s="1808"/>
      <c r="BA21" s="1773">
        <v>21</v>
      </c>
    </row>
    <row r="22" spans="1:53" s="289" customFormat="1" ht="11.25" customHeight="1">
      <c r="B22" s="289" t="s">
        <v>438</v>
      </c>
      <c r="G22" s="3540"/>
      <c r="H22" s="3541"/>
      <c r="J22" s="340"/>
      <c r="K22" s="337"/>
      <c r="L22" s="340"/>
      <c r="M22" s="3552"/>
      <c r="N22" s="3553"/>
      <c r="P22" s="340"/>
      <c r="Q22" s="337"/>
      <c r="S22" s="3540"/>
      <c r="T22" s="3541"/>
      <c r="V22" s="2799"/>
      <c r="W22" s="3627"/>
      <c r="X22" s="3628"/>
      <c r="AZ22" s="1808"/>
      <c r="BA22" s="1773">
        <v>22</v>
      </c>
    </row>
    <row r="23" spans="1:53" s="289" customFormat="1" ht="11.25" customHeight="1" thickBot="1">
      <c r="B23" s="289" t="s">
        <v>411</v>
      </c>
      <c r="G23" s="3709"/>
      <c r="H23" s="3710"/>
      <c r="J23" s="340"/>
      <c r="K23" s="337"/>
      <c r="L23" s="340"/>
      <c r="M23" s="3709"/>
      <c r="N23" s="3710"/>
      <c r="P23" s="340"/>
      <c r="Q23" s="337"/>
      <c r="S23" s="3709"/>
      <c r="T23" s="3710"/>
      <c r="V23" s="2799"/>
      <c r="W23" s="3629"/>
      <c r="X23" s="3630"/>
      <c r="AZ23" s="1808"/>
      <c r="BA23" s="1773">
        <v>23</v>
      </c>
    </row>
    <row r="24" spans="1:53" s="289" customFormat="1" ht="12.6" customHeight="1" thickTop="1">
      <c r="F24" s="338" t="s">
        <v>183</v>
      </c>
      <c r="G24" s="3706">
        <f>SUM(G20:G23)</f>
        <v>650000</v>
      </c>
      <c r="H24" s="3707"/>
      <c r="J24" s="340"/>
      <c r="K24" s="337"/>
      <c r="L24" s="340"/>
      <c r="M24" s="3706">
        <f>SUM(M22:M23)</f>
        <v>0</v>
      </c>
      <c r="N24" s="3707"/>
      <c r="P24" s="340"/>
      <c r="Q24" s="337"/>
      <c r="S24" s="3706">
        <f>SUM(S20:S23)</f>
        <v>650000</v>
      </c>
      <c r="T24" s="3707"/>
      <c r="V24" s="2801">
        <f>SUM(V20:V23)</f>
        <v>0</v>
      </c>
      <c r="W24" s="3645"/>
      <c r="X24" s="3646"/>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148634.47456956265</v>
      </c>
      <c r="G26" s="3552">
        <v>1502100</v>
      </c>
      <c r="H26" s="3553"/>
      <c r="J26" s="3552">
        <v>1426995</v>
      </c>
      <c r="K26" s="3553"/>
      <c r="L26" s="2644"/>
      <c r="M26" s="3738"/>
      <c r="N26" s="3739"/>
      <c r="P26" s="3738"/>
      <c r="Q26" s="3739"/>
      <c r="S26" s="3552">
        <v>75105</v>
      </c>
      <c r="T26" s="3553"/>
      <c r="V26" s="2799"/>
      <c r="W26" s="3627"/>
      <c r="X26" s="3628"/>
      <c r="AZ26" s="1808"/>
      <c r="BA26" s="1773">
        <v>26</v>
      </c>
    </row>
    <row r="27" spans="1:53" s="289" customFormat="1" ht="11.25" customHeight="1" thickBot="1">
      <c r="B27" s="289" t="s">
        <v>1082</v>
      </c>
      <c r="G27" s="3709"/>
      <c r="H27" s="3710"/>
      <c r="J27" s="3709"/>
      <c r="K27" s="3710"/>
      <c r="L27" s="341"/>
      <c r="M27" s="3737"/>
      <c r="N27" s="3737"/>
      <c r="P27" s="3737"/>
      <c r="Q27" s="3737"/>
      <c r="S27" s="3709"/>
      <c r="T27" s="3710"/>
      <c r="V27" s="2799"/>
      <c r="W27" s="3629"/>
      <c r="X27" s="3630"/>
      <c r="AZ27" s="1808"/>
      <c r="BA27" s="1773">
        <v>27</v>
      </c>
    </row>
    <row r="28" spans="1:53" s="289" customFormat="1" ht="12.6" customHeight="1" thickTop="1">
      <c r="F28" s="338" t="s">
        <v>183</v>
      </c>
      <c r="G28" s="3706">
        <f>SUM(G26:G27)</f>
        <v>1502100</v>
      </c>
      <c r="H28" s="3707"/>
      <c r="J28" s="3706">
        <f>SUM(J26:J27)</f>
        <v>1426995</v>
      </c>
      <c r="K28" s="3707"/>
      <c r="L28" s="340"/>
      <c r="M28" s="3706">
        <f>M26</f>
        <v>0</v>
      </c>
      <c r="N28" s="3707"/>
      <c r="P28" s="3706">
        <f>P26</f>
        <v>0</v>
      </c>
      <c r="Q28" s="3707"/>
      <c r="S28" s="3706">
        <f>SUM(S26:S27)</f>
        <v>75105</v>
      </c>
      <c r="T28" s="3707"/>
      <c r="V28" s="2801">
        <f>SUM(V26:V27)</f>
        <v>0</v>
      </c>
      <c r="W28" s="3645"/>
      <c r="X28" s="3646"/>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2">
        <v>5479700</v>
      </c>
      <c r="H30" s="3553"/>
      <c r="J30" s="3552">
        <v>5479700</v>
      </c>
      <c r="K30" s="3553"/>
      <c r="L30" s="2644"/>
      <c r="M30" s="3552"/>
      <c r="N30" s="3553"/>
      <c r="P30" s="3552"/>
      <c r="Q30" s="3553"/>
      <c r="S30" s="3552"/>
      <c r="T30" s="3553"/>
      <c r="V30" s="2799"/>
      <c r="W30" s="3627"/>
      <c r="X30" s="3628"/>
      <c r="AZ30" s="1808"/>
      <c r="BA30" s="1773">
        <v>30</v>
      </c>
    </row>
    <row r="31" spans="1:53" s="289" customFormat="1" ht="11.25" customHeight="1">
      <c r="B31" s="289" t="s">
        <v>1085</v>
      </c>
      <c r="G31" s="3540"/>
      <c r="H31" s="3541"/>
      <c r="J31" s="3540"/>
      <c r="K31" s="3541"/>
      <c r="L31" s="2644"/>
      <c r="M31" s="3540"/>
      <c r="N31" s="3541"/>
      <c r="P31" s="3540"/>
      <c r="Q31" s="3541"/>
      <c r="S31" s="3540"/>
      <c r="T31" s="3541"/>
      <c r="V31" s="2799"/>
      <c r="W31" s="3627"/>
      <c r="X31" s="3628"/>
      <c r="AZ31" s="1808"/>
      <c r="BA31" s="1773">
        <v>31</v>
      </c>
    </row>
    <row r="32" spans="1:53" s="289" customFormat="1" ht="11.25" customHeight="1">
      <c r="B32" s="289" t="s">
        <v>6300</v>
      </c>
      <c r="G32" s="3540"/>
      <c r="H32" s="3541"/>
      <c r="J32" s="3540"/>
      <c r="K32" s="3541"/>
      <c r="L32" s="2644"/>
      <c r="M32" s="3540"/>
      <c r="N32" s="3541"/>
      <c r="P32" s="3540"/>
      <c r="Q32" s="3541"/>
      <c r="S32" s="3540"/>
      <c r="T32" s="3541"/>
      <c r="V32" s="2799"/>
      <c r="W32" s="3627"/>
      <c r="X32" s="3628"/>
      <c r="AZ32" s="1808"/>
      <c r="BA32" s="1773">
        <v>32</v>
      </c>
    </row>
    <row r="33" spans="1:53" s="289" customFormat="1" ht="11.25" customHeight="1">
      <c r="B33" s="289" t="s">
        <v>6298</v>
      </c>
      <c r="G33" s="3540"/>
      <c r="H33" s="3541"/>
      <c r="J33" s="3540"/>
      <c r="K33" s="3541"/>
      <c r="L33" s="2644"/>
      <c r="M33" s="3540"/>
      <c r="N33" s="3541"/>
      <c r="P33" s="3540"/>
      <c r="Q33" s="3541"/>
      <c r="S33" s="3540"/>
      <c r="T33" s="3541"/>
      <c r="V33" s="2799"/>
      <c r="W33" s="3627"/>
      <c r="X33" s="3628"/>
      <c r="AZ33" s="1808"/>
      <c r="BA33" s="1773">
        <v>33</v>
      </c>
    </row>
    <row r="34" spans="1:53" ht="11.25" customHeight="1">
      <c r="B34" s="289" t="s">
        <v>2604</v>
      </c>
      <c r="G34" s="3540"/>
      <c r="H34" s="3541"/>
      <c r="I34" s="289"/>
      <c r="J34" s="3540"/>
      <c r="K34" s="3541"/>
      <c r="L34" s="2644"/>
      <c r="M34" s="3540"/>
      <c r="N34" s="3541"/>
      <c r="O34" s="289"/>
      <c r="P34" s="3540"/>
      <c r="Q34" s="3541"/>
      <c r="R34" s="289"/>
      <c r="S34" s="3540"/>
      <c r="T34" s="3541"/>
      <c r="V34" s="2799"/>
      <c r="W34" s="3629"/>
      <c r="X34" s="3630"/>
      <c r="BA34" s="1773">
        <v>34</v>
      </c>
    </row>
    <row r="35" spans="1:53" ht="11.25" customHeight="1" thickBot="1">
      <c r="B35" s="289" t="s">
        <v>6299</v>
      </c>
      <c r="G35" s="3735"/>
      <c r="H35" s="3736"/>
      <c r="I35" s="289"/>
      <c r="J35" s="3735"/>
      <c r="K35" s="3736"/>
      <c r="L35" s="2644"/>
      <c r="M35" s="3735"/>
      <c r="N35" s="3736"/>
      <c r="O35" s="289"/>
      <c r="P35" s="3735"/>
      <c r="Q35" s="3736"/>
      <c r="R35" s="289"/>
      <c r="S35" s="3735"/>
      <c r="T35" s="3736"/>
      <c r="V35" s="2799"/>
      <c r="W35" s="3629"/>
      <c r="X35" s="3630"/>
      <c r="BA35" s="1773">
        <v>35</v>
      </c>
    </row>
    <row r="36" spans="1:53" s="289" customFormat="1" ht="12.6" customHeight="1" thickTop="1">
      <c r="C36" s="3734"/>
      <c r="D36" s="3734"/>
      <c r="E36" s="2640"/>
      <c r="F36" s="338" t="s">
        <v>183</v>
      </c>
      <c r="G36" s="3706">
        <f>SUM(G30:G35)</f>
        <v>5479700</v>
      </c>
      <c r="H36" s="3707"/>
      <c r="J36" s="3706">
        <f>SUM(J30:J35)</f>
        <v>5479700</v>
      </c>
      <c r="K36" s="3707"/>
      <c r="L36" s="2644"/>
      <c r="M36" s="3706">
        <f>SUM(M30:M35)</f>
        <v>0</v>
      </c>
      <c r="N36" s="3707"/>
      <c r="P36" s="3706">
        <f>SUM(P30:P35)</f>
        <v>0</v>
      </c>
      <c r="Q36" s="3707"/>
      <c r="S36" s="3706">
        <f>SUM(S30:S35)</f>
        <v>0</v>
      </c>
      <c r="T36" s="3707"/>
      <c r="V36" s="2801">
        <f>SUM(V30:V35)</f>
        <v>0</v>
      </c>
      <c r="W36" s="3645"/>
      <c r="X36" s="3646"/>
      <c r="AZ36" s="1808" t="s">
        <v>6683</v>
      </c>
      <c r="BA36" s="1773">
        <v>36</v>
      </c>
    </row>
    <row r="37" spans="1:53" s="289" customFormat="1" ht="12" customHeight="1">
      <c r="B37" s="291" t="s">
        <v>2239</v>
      </c>
      <c r="D37" s="3733" t="s">
        <v>3357</v>
      </c>
      <c r="E37" s="3733"/>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418908</v>
      </c>
      <c r="F38" s="852">
        <f>IF(($G$28+$G$36)=0,0,G38/($G$28+$G$36))</f>
        <v>0.06</v>
      </c>
      <c r="G38" s="3552">
        <v>418908</v>
      </c>
      <c r="H38" s="3553"/>
      <c r="I38" s="307"/>
      <c r="J38" s="3552">
        <v>418908</v>
      </c>
      <c r="K38" s="3553"/>
      <c r="L38" s="2644"/>
      <c r="M38" s="3552"/>
      <c r="N38" s="3553"/>
      <c r="P38" s="3552"/>
      <c r="Q38" s="3553"/>
      <c r="S38" s="3552"/>
      <c r="T38" s="3553"/>
      <c r="V38" s="2799"/>
      <c r="W38" s="3627"/>
      <c r="X38" s="3628"/>
      <c r="AZ38" s="1808"/>
      <c r="BA38" s="1773">
        <v>38</v>
      </c>
    </row>
    <row r="39" spans="1:53" s="289" customFormat="1" ht="11.25" customHeight="1">
      <c r="B39" s="289" t="s">
        <v>2574</v>
      </c>
      <c r="D39" s="854">
        <f>'DCA Underwriting Assumptions'!$R$79</f>
        <v>0.02</v>
      </c>
      <c r="E39" s="855">
        <f>D39*(G28+G36)</f>
        <v>139636</v>
      </c>
      <c r="F39" s="852">
        <f>IF(($G$28+$G$36)=0,0,G39/($G$28+$G$36))</f>
        <v>0.02</v>
      </c>
      <c r="G39" s="3540">
        <v>139636</v>
      </c>
      <c r="H39" s="3541"/>
      <c r="I39" s="307"/>
      <c r="J39" s="3540">
        <v>139636</v>
      </c>
      <c r="K39" s="3541"/>
      <c r="L39" s="2644"/>
      <c r="M39" s="3540"/>
      <c r="N39" s="3541"/>
      <c r="P39" s="3540"/>
      <c r="Q39" s="3541"/>
      <c r="S39" s="3540"/>
      <c r="T39" s="3541"/>
      <c r="V39" s="2799"/>
      <c r="W39" s="3627"/>
      <c r="X39" s="3628"/>
      <c r="AZ39" s="1808"/>
      <c r="BA39" s="1773">
        <v>39</v>
      </c>
    </row>
    <row r="40" spans="1:53" s="289" customFormat="1" ht="11.25" customHeight="1" thickBot="1">
      <c r="B40" s="289" t="s">
        <v>2575</v>
      </c>
      <c r="D40" s="858">
        <f>'DCA Underwriting Assumptions'!$R$80</f>
        <v>0.06</v>
      </c>
      <c r="E40" s="859">
        <f>D40*(G28+G36)</f>
        <v>418908</v>
      </c>
      <c r="F40" s="1014">
        <f>IF(($G$28+$G$36)=0,0,G40/($G$28+$G$36))</f>
        <v>0.06</v>
      </c>
      <c r="G40" s="3709">
        <v>418908</v>
      </c>
      <c r="H40" s="3710"/>
      <c r="I40" s="307"/>
      <c r="J40" s="3709">
        <v>418908</v>
      </c>
      <c r="K40" s="3710"/>
      <c r="L40" s="2644"/>
      <c r="M40" s="3709"/>
      <c r="N40" s="3710"/>
      <c r="P40" s="3709"/>
      <c r="Q40" s="3710"/>
      <c r="S40" s="3709"/>
      <c r="T40" s="3710"/>
      <c r="V40" s="2799"/>
      <c r="W40" s="3629"/>
      <c r="X40" s="3630"/>
      <c r="AZ40" s="1808"/>
      <c r="BA40" s="1773">
        <v>40</v>
      </c>
    </row>
    <row r="41" spans="1:53" s="289" customFormat="1" ht="12.6" customHeight="1" thickTop="1">
      <c r="B41" s="170" t="s">
        <v>3358</v>
      </c>
      <c r="D41" s="856">
        <f>SUM(D38:D40)</f>
        <v>0.14000000000000001</v>
      </c>
      <c r="E41" s="857">
        <f>SUM(E38:E40)</f>
        <v>977452</v>
      </c>
      <c r="F41" s="839" t="s">
        <v>183</v>
      </c>
      <c r="G41" s="3706">
        <f>SUM(G38:G40)</f>
        <v>977452</v>
      </c>
      <c r="H41" s="3707"/>
      <c r="J41" s="3706">
        <f>SUM(J38:J40)</f>
        <v>977452</v>
      </c>
      <c r="K41" s="3707"/>
      <c r="L41" s="340"/>
      <c r="M41" s="3706">
        <f>SUM(M38:M40)</f>
        <v>0</v>
      </c>
      <c r="N41" s="3707"/>
      <c r="P41" s="3706">
        <f>SUM(P38:P40)</f>
        <v>0</v>
      </c>
      <c r="Q41" s="3707"/>
      <c r="S41" s="3706">
        <f>SUM(S38:S40)</f>
        <v>0</v>
      </c>
      <c r="T41" s="3707"/>
      <c r="V41" s="2801">
        <f>SUM(V38:V40)</f>
        <v>0</v>
      </c>
      <c r="W41" s="3645"/>
      <c r="X41" s="3646"/>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6816</v>
      </c>
      <c r="D43" s="1779"/>
      <c r="E43" s="1727"/>
      <c r="F43" s="1727"/>
      <c r="G43" s="3624">
        <f>G28+G36+G41</f>
        <v>7959252</v>
      </c>
      <c r="H43" s="362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704" t="s">
        <v>3343</v>
      </c>
      <c r="D46" s="3731"/>
      <c r="E46" s="3731"/>
      <c r="F46" s="3732"/>
      <c r="G46" s="3727"/>
      <c r="H46" s="3728"/>
      <c r="I46" s="289"/>
      <c r="J46" s="3727"/>
      <c r="K46" s="3728"/>
      <c r="L46" s="2644"/>
      <c r="M46" s="3727"/>
      <c r="N46" s="3728"/>
      <c r="O46" s="289"/>
      <c r="P46" s="3727"/>
      <c r="Q46" s="3728"/>
      <c r="R46" s="289"/>
      <c r="S46" s="3727"/>
      <c r="T46" s="3728"/>
      <c r="V46" s="2799"/>
      <c r="W46" s="3618"/>
      <c r="X46" s="361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0"/>
      <c r="X47" s="3621"/>
      <c r="AZ47" s="1808" t="s">
        <v>6686</v>
      </c>
      <c r="BA47" s="1773">
        <v>47</v>
      </c>
    </row>
    <row r="48" spans="1:53" s="289" customFormat="1" ht="12.6" customHeight="1">
      <c r="B48" s="1740" t="s">
        <v>2580</v>
      </c>
      <c r="C48" s="1741"/>
      <c r="E48" s="3729" t="s">
        <v>2579</v>
      </c>
      <c r="F48" s="2642">
        <f>C49/'Part VI-Revenues &amp; Expenses'!$P$65</f>
        <v>165817.75</v>
      </c>
      <c r="G48" s="2643" t="s">
        <v>2598</v>
      </c>
      <c r="H48" s="1742"/>
      <c r="I48" s="1742"/>
      <c r="J48" s="3612">
        <f>C49/'Part VI-Revenues &amp; Expenses'!$P$67</f>
        <v>165817.75</v>
      </c>
      <c r="K48" s="3612"/>
      <c r="L48" s="1742"/>
      <c r="M48" s="3613" t="s">
        <v>6796</v>
      </c>
      <c r="N48" s="3613"/>
      <c r="O48" s="1742"/>
      <c r="P48" s="3612">
        <f>C49/'Part I-Project Information'!$P$70</f>
        <v>147.29535864978902</v>
      </c>
      <c r="Q48" s="3612"/>
      <c r="R48" s="1742"/>
      <c r="S48" s="3614" t="s">
        <v>6798</v>
      </c>
      <c r="T48" s="3615"/>
      <c r="V48" s="935"/>
      <c r="W48" s="3620"/>
      <c r="X48" s="3621"/>
      <c r="AZ48" s="1808"/>
      <c r="BA48" s="1773">
        <v>48</v>
      </c>
    </row>
    <row r="49" spans="1:53" s="289" customFormat="1" ht="12.6" customHeight="1">
      <c r="B49" s="1781" t="s">
        <v>6815</v>
      </c>
      <c r="C49" s="1780">
        <f>G28+G36+G41+G46</f>
        <v>7959252</v>
      </c>
      <c r="E49" s="3730"/>
      <c r="F49" s="2641">
        <f>C49/'Part VI-Revenues &amp; Expenses'!$P$166</f>
        <v>153.25115526802219</v>
      </c>
      <c r="G49" s="1743" t="s">
        <v>2599</v>
      </c>
      <c r="H49" s="1744"/>
      <c r="I49" s="1744"/>
      <c r="J49" s="3616">
        <f>C49/'Part VI-Revenues &amp; Expenses'!$P$168</f>
        <v>153.25115526802219</v>
      </c>
      <c r="K49" s="3616"/>
      <c r="L49" s="1744"/>
      <c r="M49" s="3617" t="s">
        <v>6797</v>
      </c>
      <c r="N49" s="3617"/>
      <c r="O49" s="1744"/>
      <c r="P49" s="1744"/>
      <c r="Q49" s="1744"/>
      <c r="R49" s="1744"/>
      <c r="S49" s="1744"/>
      <c r="T49" s="1745"/>
      <c r="V49" s="935"/>
      <c r="W49" s="3622"/>
      <c r="X49" s="362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9" t="s">
        <v>260</v>
      </c>
      <c r="K51" s="3690"/>
      <c r="L51" s="337"/>
      <c r="M51" s="3715" t="s">
        <v>468</v>
      </c>
      <c r="N51" s="3716"/>
      <c r="P51" s="3689" t="s">
        <v>261</v>
      </c>
      <c r="Q51" s="3690"/>
      <c r="S51" s="3689" t="s">
        <v>262</v>
      </c>
      <c r="T51" s="3690"/>
      <c r="V51" s="935"/>
      <c r="W51" s="411" t="str">
        <f>B51</f>
        <v>DEVELOPMENT BUDGET (cont'd)</v>
      </c>
      <c r="AZ51" s="1808"/>
      <c r="BA51" s="1773">
        <v>58</v>
      </c>
    </row>
    <row r="52" spans="1:53" s="289" customFormat="1" ht="18.75" customHeight="1" thickBot="1">
      <c r="G52" s="3719" t="s">
        <v>94</v>
      </c>
      <c r="H52" s="3720"/>
      <c r="J52" s="3691"/>
      <c r="K52" s="3692"/>
      <c r="L52" s="337"/>
      <c r="M52" s="3717"/>
      <c r="N52" s="3718"/>
      <c r="P52" s="3691"/>
      <c r="Q52" s="3692"/>
      <c r="S52" s="3691"/>
      <c r="T52" s="3692"/>
      <c r="V52" s="935"/>
      <c r="W52" s="3653" t="s">
        <v>2537</v>
      </c>
      <c r="X52" s="3653"/>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3564</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3563</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397962.60000000003</v>
      </c>
      <c r="F55" s="1849">
        <f>G55/C49</f>
        <v>4.9999924616031755E-2</v>
      </c>
      <c r="G55" s="3727">
        <v>397962</v>
      </c>
      <c r="H55" s="3728"/>
      <c r="I55" s="289"/>
      <c r="J55" s="3727">
        <v>397962</v>
      </c>
      <c r="K55" s="3728"/>
      <c r="L55" s="2644"/>
      <c r="M55" s="3727"/>
      <c r="N55" s="3728"/>
      <c r="O55" s="289"/>
      <c r="P55" s="3727"/>
      <c r="Q55" s="3728"/>
      <c r="R55" s="289"/>
      <c r="S55" s="3727"/>
      <c r="T55" s="3728"/>
      <c r="V55" s="2799"/>
      <c r="W55" s="3627"/>
      <c r="X55" s="3628"/>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8"/>
      <c r="X56" s="3619"/>
      <c r="AZ56" s="1808"/>
      <c r="BA56" s="1773">
        <v>53</v>
      </c>
    </row>
    <row r="57" spans="1:53" s="289" customFormat="1" ht="12.6" customHeight="1">
      <c r="B57" s="1746" t="s">
        <v>6608</v>
      </c>
      <c r="C57" s="1741"/>
      <c r="E57" s="3610" t="s">
        <v>6609</v>
      </c>
      <c r="F57" s="2642">
        <f>B58/'Part VI-Revenues &amp; Expenses'!$P$65</f>
        <v>174108.625</v>
      </c>
      <c r="G57" s="2643" t="s">
        <v>2598</v>
      </c>
      <c r="H57" s="1742"/>
      <c r="I57" s="1742"/>
      <c r="J57" s="3612">
        <f>B58/'Part VI-Revenues &amp; Expenses'!$P$67</f>
        <v>174108.625</v>
      </c>
      <c r="K57" s="3612"/>
      <c r="L57" s="1742"/>
      <c r="M57" s="3613" t="s">
        <v>6796</v>
      </c>
      <c r="N57" s="3613"/>
      <c r="O57" s="1742"/>
      <c r="P57" s="3612">
        <f>B58/'Part I-Project Information'!$P$70</f>
        <v>154.66011547856985</v>
      </c>
      <c r="Q57" s="3612"/>
      <c r="R57" s="1742"/>
      <c r="S57" s="3614" t="s">
        <v>6798</v>
      </c>
      <c r="T57" s="3615"/>
      <c r="V57" s="935"/>
      <c r="W57" s="3620"/>
      <c r="X57" s="3621"/>
      <c r="AZ57" s="1808"/>
      <c r="BA57" s="1773">
        <v>54</v>
      </c>
    </row>
    <row r="58" spans="1:53" s="289" customFormat="1" ht="12.6" customHeight="1">
      <c r="B58" s="3608">
        <f>C49+G55</f>
        <v>8357214</v>
      </c>
      <c r="C58" s="3609"/>
      <c r="E58" s="3611"/>
      <c r="F58" s="2641">
        <f>B58/'Part VI-Revenues &amp; Expenses'!$P$166</f>
        <v>160.91370147874306</v>
      </c>
      <c r="G58" s="1743" t="s">
        <v>2599</v>
      </c>
      <c r="H58" s="1744"/>
      <c r="I58" s="1744"/>
      <c r="J58" s="3616">
        <f>B58/'Part VI-Revenues &amp; Expenses'!$P$168</f>
        <v>160.91370147874306</v>
      </c>
      <c r="K58" s="3616"/>
      <c r="L58" s="1744"/>
      <c r="M58" s="3617" t="s">
        <v>6797</v>
      </c>
      <c r="N58" s="3617"/>
      <c r="O58" s="1744"/>
      <c r="P58" s="1744"/>
      <c r="Q58" s="1744"/>
      <c r="R58" s="1744"/>
      <c r="S58" s="1744"/>
      <c r="T58" s="1745"/>
      <c r="V58" s="935"/>
      <c r="W58" s="3620"/>
      <c r="X58" s="362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2"/>
      <c r="X59" s="362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52"/>
      <c r="H61" s="3553"/>
      <c r="J61" s="3552"/>
      <c r="K61" s="3553"/>
      <c r="L61" s="2644"/>
      <c r="M61" s="3552"/>
      <c r="N61" s="3553"/>
      <c r="P61" s="3552"/>
      <c r="Q61" s="3553"/>
      <c r="S61" s="3552"/>
      <c r="T61" s="3553"/>
      <c r="V61" s="2803"/>
      <c r="W61" s="3627"/>
      <c r="X61" s="3628"/>
      <c r="AZ61" s="1808"/>
      <c r="BA61" s="1773">
        <v>61</v>
      </c>
    </row>
    <row r="62" spans="1:53" s="289" customFormat="1" ht="12" customHeight="1">
      <c r="B62" s="289" t="s">
        <v>3360</v>
      </c>
      <c r="G62" s="3540"/>
      <c r="H62" s="3541"/>
      <c r="J62" s="3540"/>
      <c r="K62" s="3541"/>
      <c r="L62" s="2644"/>
      <c r="M62" s="3540"/>
      <c r="N62" s="3541"/>
      <c r="P62" s="3540"/>
      <c r="Q62" s="3541"/>
      <c r="S62" s="3540"/>
      <c r="T62" s="3541"/>
      <c r="V62" s="2803"/>
      <c r="W62" s="3627"/>
      <c r="X62" s="3628"/>
      <c r="AZ62" s="1808"/>
      <c r="BA62" s="1773">
        <v>62</v>
      </c>
    </row>
    <row r="63" spans="1:53" s="289" customFormat="1" ht="12" customHeight="1">
      <c r="B63" s="289" t="s">
        <v>2242</v>
      </c>
      <c r="G63" s="3540">
        <v>81421</v>
      </c>
      <c r="H63" s="3541"/>
      <c r="J63" s="3540">
        <v>81421</v>
      </c>
      <c r="K63" s="3541"/>
      <c r="L63" s="2644"/>
      <c r="M63" s="3540"/>
      <c r="N63" s="3541"/>
      <c r="P63" s="3540"/>
      <c r="Q63" s="3541"/>
      <c r="S63" s="3540"/>
      <c r="T63" s="3541"/>
      <c r="V63" s="2803"/>
      <c r="W63" s="3627"/>
      <c r="X63" s="3628"/>
      <c r="AZ63" s="1808"/>
      <c r="BA63" s="1773">
        <v>63</v>
      </c>
    </row>
    <row r="64" spans="1:53" s="289" customFormat="1" ht="12" customHeight="1">
      <c r="B64" s="289" t="s">
        <v>2243</v>
      </c>
      <c r="G64" s="3540">
        <v>249118</v>
      </c>
      <c r="H64" s="3541"/>
      <c r="J64" s="3540">
        <v>243040</v>
      </c>
      <c r="K64" s="3541"/>
      <c r="L64" s="2644"/>
      <c r="M64" s="3540"/>
      <c r="N64" s="3541"/>
      <c r="P64" s="3540"/>
      <c r="Q64" s="3541"/>
      <c r="S64" s="3540">
        <v>6078</v>
      </c>
      <c r="T64" s="3541"/>
      <c r="V64" s="2803"/>
      <c r="W64" s="3627"/>
      <c r="X64" s="3628"/>
      <c r="AZ64" s="1808"/>
      <c r="BA64" s="1773">
        <v>64</v>
      </c>
    </row>
    <row r="65" spans="1:53" s="289" customFormat="1" ht="12" customHeight="1">
      <c r="B65" s="289" t="s">
        <v>2244</v>
      </c>
      <c r="G65" s="3540">
        <v>25000</v>
      </c>
      <c r="H65" s="3541"/>
      <c r="J65" s="3540">
        <v>25000</v>
      </c>
      <c r="K65" s="3541"/>
      <c r="L65" s="2644"/>
      <c r="M65" s="3540"/>
      <c r="N65" s="3541"/>
      <c r="P65" s="3540"/>
      <c r="Q65" s="3541"/>
      <c r="S65" s="3540"/>
      <c r="T65" s="3541"/>
      <c r="V65" s="2803"/>
      <c r="W65" s="3627"/>
      <c r="X65" s="3628"/>
      <c r="AZ65" s="1808" t="s">
        <v>6687</v>
      </c>
      <c r="BA65" s="1773">
        <v>65</v>
      </c>
    </row>
    <row r="66" spans="1:53" s="289" customFormat="1" ht="12" customHeight="1">
      <c r="B66" s="289" t="s">
        <v>2539</v>
      </c>
      <c r="G66" s="3540"/>
      <c r="H66" s="3541"/>
      <c r="J66" s="3540"/>
      <c r="K66" s="3541"/>
      <c r="L66" s="2644"/>
      <c r="M66" s="3540"/>
      <c r="N66" s="3541"/>
      <c r="P66" s="3540"/>
      <c r="Q66" s="3541"/>
      <c r="S66" s="3540"/>
      <c r="T66" s="3541"/>
      <c r="V66" s="2803"/>
      <c r="W66" s="3627"/>
      <c r="X66" s="3628"/>
      <c r="AZ66" s="1808" t="s">
        <v>6688</v>
      </c>
      <c r="BA66" s="1773">
        <v>66</v>
      </c>
    </row>
    <row r="67" spans="1:53" s="289" customFormat="1" ht="12" customHeight="1">
      <c r="B67" s="289" t="s">
        <v>693</v>
      </c>
      <c r="G67" s="3540">
        <v>5000</v>
      </c>
      <c r="H67" s="3541"/>
      <c r="J67" s="3540">
        <v>5000</v>
      </c>
      <c r="K67" s="3541"/>
      <c r="L67" s="2644"/>
      <c r="M67" s="3540"/>
      <c r="N67" s="3541"/>
      <c r="P67" s="3540"/>
      <c r="Q67" s="3541"/>
      <c r="S67" s="3540"/>
      <c r="T67" s="3541"/>
      <c r="V67" s="2803"/>
      <c r="W67" s="3627"/>
      <c r="X67" s="3628"/>
      <c r="AZ67" s="1808" t="s">
        <v>6689</v>
      </c>
      <c r="BA67" s="1773">
        <v>67</v>
      </c>
    </row>
    <row r="68" spans="1:53" s="289" customFormat="1" ht="12" customHeight="1">
      <c r="B68" s="289" t="s">
        <v>2245</v>
      </c>
      <c r="G68" s="3540">
        <v>20000</v>
      </c>
      <c r="H68" s="3541"/>
      <c r="J68" s="3540">
        <v>20000</v>
      </c>
      <c r="K68" s="3541"/>
      <c r="L68" s="2644"/>
      <c r="M68" s="3540"/>
      <c r="N68" s="3541"/>
      <c r="P68" s="3540"/>
      <c r="Q68" s="3541"/>
      <c r="S68" s="3540"/>
      <c r="T68" s="3541"/>
      <c r="V68" s="2803"/>
      <c r="W68" s="3627"/>
      <c r="X68" s="3628"/>
      <c r="AZ68" s="1808"/>
      <c r="BA68" s="1773">
        <v>68</v>
      </c>
    </row>
    <row r="69" spans="1:53" s="289" customFormat="1" ht="12" customHeight="1">
      <c r="B69" s="289" t="s">
        <v>1228</v>
      </c>
      <c r="G69" s="3540">
        <v>15000</v>
      </c>
      <c r="H69" s="3541"/>
      <c r="J69" s="3540">
        <v>15000</v>
      </c>
      <c r="K69" s="3541"/>
      <c r="L69" s="2644"/>
      <c r="M69" s="3540"/>
      <c r="N69" s="3541"/>
      <c r="P69" s="3540"/>
      <c r="Q69" s="3541"/>
      <c r="S69" s="3540"/>
      <c r="T69" s="3541"/>
      <c r="V69" s="2803"/>
      <c r="W69" s="3627"/>
      <c r="X69" s="3628"/>
      <c r="AZ69" s="1808"/>
      <c r="BA69" s="1773">
        <v>69</v>
      </c>
    </row>
    <row r="70" spans="1:53" s="289" customFormat="1" ht="12" customHeight="1">
      <c r="B70" s="344" t="s">
        <v>1111</v>
      </c>
      <c r="D70" s="342"/>
      <c r="E70" s="342"/>
      <c r="F70" s="343"/>
      <c r="G70" s="3540"/>
      <c r="H70" s="3541"/>
      <c r="I70" s="307"/>
      <c r="J70" s="3540"/>
      <c r="K70" s="3541"/>
      <c r="L70" s="2644"/>
      <c r="M70" s="3540"/>
      <c r="N70" s="3541"/>
      <c r="P70" s="3540"/>
      <c r="Q70" s="3541"/>
      <c r="S70" s="3540"/>
      <c r="T70" s="3541"/>
      <c r="V70" s="2803"/>
      <c r="W70" s="3627"/>
      <c r="X70" s="3628"/>
      <c r="AZ70" s="1808"/>
      <c r="BA70" s="1773">
        <v>70</v>
      </c>
    </row>
    <row r="71" spans="1:53" s="289" customFormat="1" ht="12" customHeight="1">
      <c r="A71" s="363" t="str">
        <f>IF(AND(G71&gt;0,OR(C71="",C71="&lt;Enter detailed description here; use Comments section if needed&gt;")),"X","")</f>
        <v/>
      </c>
      <c r="B71" s="170" t="s">
        <v>6581</v>
      </c>
      <c r="C71" s="3723" t="s">
        <v>3343</v>
      </c>
      <c r="D71" s="3723"/>
      <c r="E71" s="3723"/>
      <c r="F71" s="3724"/>
      <c r="G71" s="3540"/>
      <c r="H71" s="3541"/>
      <c r="J71" s="3540"/>
      <c r="K71" s="3541"/>
      <c r="L71" s="2644"/>
      <c r="M71" s="3540"/>
      <c r="N71" s="3541"/>
      <c r="P71" s="3540"/>
      <c r="Q71" s="3541"/>
      <c r="S71" s="3540"/>
      <c r="T71" s="3541"/>
      <c r="U71" s="362" t="str">
        <f>IF(AND(G71&gt;0,OR(C71="",C71="&lt;Enter detailed description here; use Comments section if needed&gt;")),"NO DESCRIPTION PROVIDED - please enter detailed description in Other box at left; use Comments section below if needed.","")</f>
        <v/>
      </c>
      <c r="V71" s="2803"/>
      <c r="W71" s="3627"/>
      <c r="X71" s="3628"/>
      <c r="AZ71" s="1808"/>
      <c r="BA71" s="1773">
        <v>71</v>
      </c>
    </row>
    <row r="72" spans="1:53" s="289" customFormat="1" ht="12" customHeight="1" thickBot="1">
      <c r="A72" s="363" t="str">
        <f>IF(AND(G72&gt;0,OR(C72="",C72="&lt;Enter detailed description here; use Comments section if needed&gt;")),"X","")</f>
        <v/>
      </c>
      <c r="B72" s="170" t="s">
        <v>6582</v>
      </c>
      <c r="C72" s="3725" t="s">
        <v>3343</v>
      </c>
      <c r="D72" s="3725"/>
      <c r="E72" s="3725"/>
      <c r="F72" s="3726"/>
      <c r="G72" s="3544"/>
      <c r="H72" s="3545"/>
      <c r="J72" s="3544"/>
      <c r="K72" s="3545"/>
      <c r="L72" s="2644"/>
      <c r="M72" s="3544"/>
      <c r="N72" s="3545"/>
      <c r="P72" s="3544"/>
      <c r="Q72" s="3545"/>
      <c r="S72" s="3544"/>
      <c r="T72" s="3545"/>
      <c r="U72" s="362" t="str">
        <f>IF(AND(G72&gt;0,OR(C72="",C72="&lt;Enter detailed description here; use Comments section if needed&gt;")),"NO DESCRIPTION PROVIDED - please enter detailed description in Other box at left; use Comments section below if needed.","")</f>
        <v/>
      </c>
      <c r="V72" s="2803"/>
      <c r="W72" s="3629"/>
      <c r="X72" s="3630"/>
      <c r="AZ72" s="1808"/>
      <c r="BA72" s="1773">
        <v>72</v>
      </c>
    </row>
    <row r="73" spans="1:53" s="289" customFormat="1" ht="12" customHeight="1" thickTop="1">
      <c r="F73" s="338" t="s">
        <v>183</v>
      </c>
      <c r="G73" s="3706">
        <f>SUM(G61:G72)</f>
        <v>395539</v>
      </c>
      <c r="H73" s="3707"/>
      <c r="J73" s="3706">
        <f>SUM(J61:J72)</f>
        <v>389461</v>
      </c>
      <c r="K73" s="3707"/>
      <c r="L73" s="340"/>
      <c r="M73" s="3706">
        <f>SUM(M61:M72)</f>
        <v>0</v>
      </c>
      <c r="N73" s="3707"/>
      <c r="P73" s="3706">
        <f>SUM(P61:P72)</f>
        <v>0</v>
      </c>
      <c r="Q73" s="3707"/>
      <c r="S73" s="3706">
        <f>SUM(S61:S72)</f>
        <v>6078</v>
      </c>
      <c r="T73" s="3707"/>
      <c r="V73" s="2804">
        <f>SUM(V61:V72)</f>
        <v>0</v>
      </c>
      <c r="W73" s="3645"/>
      <c r="X73" s="364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2">
        <v>144000</v>
      </c>
      <c r="H75" s="3553"/>
      <c r="J75" s="3552">
        <v>144000</v>
      </c>
      <c r="K75" s="3553"/>
      <c r="L75" s="2644"/>
      <c r="M75" s="3552"/>
      <c r="N75" s="3553"/>
      <c r="P75" s="3552"/>
      <c r="Q75" s="3553"/>
      <c r="S75" s="3552"/>
      <c r="T75" s="3553"/>
      <c r="V75" s="2799"/>
      <c r="W75" s="3627"/>
      <c r="X75" s="3628"/>
      <c r="AZ75" s="1808"/>
      <c r="BA75" s="1773">
        <v>75</v>
      </c>
    </row>
    <row r="76" spans="1:53" s="289" customFormat="1" ht="12" customHeight="1">
      <c r="B76" s="289" t="s">
        <v>458</v>
      </c>
      <c r="G76" s="3540">
        <v>24000</v>
      </c>
      <c r="H76" s="3541"/>
      <c r="J76" s="3540">
        <v>24000</v>
      </c>
      <c r="K76" s="3541"/>
      <c r="L76" s="2644"/>
      <c r="M76" s="3540"/>
      <c r="N76" s="3541"/>
      <c r="P76" s="3540"/>
      <c r="Q76" s="3541"/>
      <c r="S76" s="3540"/>
      <c r="T76" s="3541"/>
      <c r="V76" s="2799"/>
      <c r="W76" s="3627"/>
      <c r="X76" s="3628"/>
      <c r="AZ76" s="1808"/>
      <c r="BA76" s="1773">
        <v>76</v>
      </c>
    </row>
    <row r="77" spans="1:53" s="289" customFormat="1" ht="12" customHeight="1">
      <c r="B77" s="289" t="s">
        <v>1086</v>
      </c>
      <c r="D77" s="301"/>
      <c r="E77" s="927"/>
      <c r="F77" s="928"/>
      <c r="G77" s="3540">
        <v>20000</v>
      </c>
      <c r="H77" s="3541"/>
      <c r="J77" s="3540">
        <v>20000</v>
      </c>
      <c r="K77" s="3541"/>
      <c r="L77" s="2644"/>
      <c r="M77" s="3540"/>
      <c r="N77" s="3541"/>
      <c r="P77" s="3540"/>
      <c r="Q77" s="3541"/>
      <c r="S77" s="3540"/>
      <c r="T77" s="3541"/>
      <c r="V77" s="2799"/>
      <c r="W77" s="3627"/>
      <c r="X77" s="3628"/>
      <c r="AZ77" s="1808"/>
      <c r="BA77" s="1773">
        <v>77</v>
      </c>
    </row>
    <row r="78" spans="1:53" s="289" customFormat="1" ht="12" customHeight="1">
      <c r="B78" s="289" t="s">
        <v>1087</v>
      </c>
      <c r="G78" s="3540">
        <v>16000</v>
      </c>
      <c r="H78" s="3541"/>
      <c r="J78" s="3540">
        <v>16000</v>
      </c>
      <c r="K78" s="3541"/>
      <c r="L78" s="2644"/>
      <c r="M78" s="3540"/>
      <c r="N78" s="3541"/>
      <c r="P78" s="3540"/>
      <c r="Q78" s="3541"/>
      <c r="S78" s="3540"/>
      <c r="T78" s="3541"/>
      <c r="V78" s="2799"/>
      <c r="W78" s="3627"/>
      <c r="X78" s="3628"/>
      <c r="AZ78" s="1808"/>
      <c r="BA78" s="1773">
        <v>78</v>
      </c>
    </row>
    <row r="79" spans="1:53" s="289" customFormat="1" ht="12" customHeight="1">
      <c r="B79" s="289" t="s">
        <v>1088</v>
      </c>
      <c r="G79" s="3540">
        <v>25000</v>
      </c>
      <c r="H79" s="3541"/>
      <c r="J79" s="3540">
        <v>25000</v>
      </c>
      <c r="K79" s="3541"/>
      <c r="L79" s="2644"/>
      <c r="M79" s="3540"/>
      <c r="N79" s="3541"/>
      <c r="P79" s="3540"/>
      <c r="Q79" s="3541"/>
      <c r="S79" s="3540"/>
      <c r="T79" s="3541"/>
      <c r="V79" s="2799"/>
      <c r="W79" s="3627"/>
      <c r="X79" s="3628"/>
      <c r="AZ79" s="1808" t="s">
        <v>6690</v>
      </c>
      <c r="BA79" s="1773">
        <v>79</v>
      </c>
    </row>
    <row r="80" spans="1:53" s="289" customFormat="1" ht="12" customHeight="1">
      <c r="B80" s="289" t="s">
        <v>1089</v>
      </c>
      <c r="G80" s="3540">
        <v>40000</v>
      </c>
      <c r="H80" s="3541"/>
      <c r="J80" s="3540">
        <v>40000</v>
      </c>
      <c r="K80" s="3541"/>
      <c r="L80" s="2644"/>
      <c r="M80" s="3540"/>
      <c r="N80" s="3541"/>
      <c r="P80" s="3540"/>
      <c r="Q80" s="3541"/>
      <c r="S80" s="3540"/>
      <c r="T80" s="3541"/>
      <c r="V80" s="2799"/>
      <c r="W80" s="3627"/>
      <c r="X80" s="3628"/>
      <c r="AZ80" s="1808" t="s">
        <v>6691</v>
      </c>
      <c r="BA80" s="1773">
        <v>80</v>
      </c>
    </row>
    <row r="81" spans="1:53" s="289" customFormat="1" ht="12" customHeight="1">
      <c r="B81" s="289" t="s">
        <v>459</v>
      </c>
      <c r="G81" s="3540">
        <v>90000</v>
      </c>
      <c r="H81" s="3541"/>
      <c r="J81" s="3540">
        <v>90000</v>
      </c>
      <c r="K81" s="3541"/>
      <c r="L81" s="2644"/>
      <c r="M81" s="3540"/>
      <c r="N81" s="3541"/>
      <c r="P81" s="3540"/>
      <c r="Q81" s="3541"/>
      <c r="S81" s="3540"/>
      <c r="T81" s="3541"/>
      <c r="V81" s="2799"/>
      <c r="W81" s="3627"/>
      <c r="X81" s="3628"/>
      <c r="AZ81" s="1809"/>
      <c r="BA81" s="1773">
        <v>81</v>
      </c>
    </row>
    <row r="82" spans="1:53" s="289" customFormat="1" ht="12" customHeight="1">
      <c r="B82" s="289" t="s">
        <v>460</v>
      </c>
      <c r="G82" s="3540">
        <v>55000</v>
      </c>
      <c r="H82" s="3541"/>
      <c r="J82" s="3540">
        <v>35000</v>
      </c>
      <c r="K82" s="3541"/>
      <c r="L82" s="2644"/>
      <c r="M82" s="3540"/>
      <c r="N82" s="3541"/>
      <c r="P82" s="3540"/>
      <c r="Q82" s="3541"/>
      <c r="S82" s="3540">
        <v>20000</v>
      </c>
      <c r="T82" s="3541"/>
      <c r="V82" s="2799"/>
      <c r="W82" s="3627"/>
      <c r="X82" s="3628"/>
      <c r="AZ82" s="1808"/>
      <c r="BA82" s="1773">
        <v>82</v>
      </c>
    </row>
    <row r="83" spans="1:53" s="289" customFormat="1" ht="12" customHeight="1">
      <c r="B83" s="289" t="s">
        <v>1957</v>
      </c>
      <c r="G83" s="3540">
        <v>15000</v>
      </c>
      <c r="H83" s="3541"/>
      <c r="J83" s="3540">
        <v>15000</v>
      </c>
      <c r="K83" s="3541"/>
      <c r="L83" s="2644"/>
      <c r="M83" s="3540"/>
      <c r="N83" s="3541"/>
      <c r="P83" s="3540"/>
      <c r="Q83" s="3541"/>
      <c r="S83" s="3540"/>
      <c r="T83" s="3541"/>
      <c r="V83" s="2799"/>
      <c r="W83" s="3627"/>
      <c r="X83" s="3628"/>
      <c r="AZ83" s="1808"/>
      <c r="BA83" s="1773">
        <v>83</v>
      </c>
    </row>
    <row r="84" spans="1:53" s="289" customFormat="1" ht="12" customHeight="1">
      <c r="B84" s="289" t="s">
        <v>1229</v>
      </c>
      <c r="G84" s="3540">
        <v>10000</v>
      </c>
      <c r="H84" s="3541"/>
      <c r="J84" s="3540">
        <v>10000</v>
      </c>
      <c r="K84" s="3541"/>
      <c r="L84" s="2644"/>
      <c r="M84" s="3540"/>
      <c r="N84" s="3541"/>
      <c r="P84" s="3540"/>
      <c r="Q84" s="3541"/>
      <c r="S84" s="3540"/>
      <c r="T84" s="3541"/>
      <c r="V84" s="2799"/>
      <c r="W84" s="3627"/>
      <c r="X84" s="3628"/>
      <c r="AZ84" s="1808"/>
      <c r="BA84" s="1773">
        <v>84</v>
      </c>
    </row>
    <row r="85" spans="1:53" s="289" customFormat="1" ht="12" customHeight="1" thickBot="1">
      <c r="A85" s="363" t="str">
        <f>IF(AND(G85&gt;0,OR(C85="",C85="&lt;Enter detailed description here; use Comments section if needed&gt;")),"X","")</f>
        <v/>
      </c>
      <c r="B85" s="170" t="s">
        <v>6583</v>
      </c>
      <c r="C85" s="3704" t="s">
        <v>3343</v>
      </c>
      <c r="D85" s="3704"/>
      <c r="E85" s="3704"/>
      <c r="F85" s="3705"/>
      <c r="G85" s="3544"/>
      <c r="H85" s="3545"/>
      <c r="J85" s="3544"/>
      <c r="K85" s="3545"/>
      <c r="L85" s="2644"/>
      <c r="M85" s="3544"/>
      <c r="N85" s="3545"/>
      <c r="P85" s="3544"/>
      <c r="Q85" s="3545"/>
      <c r="S85" s="3544"/>
      <c r="T85" s="3545"/>
      <c r="U85" s="362" t="str">
        <f>IF(AND(G85&gt;0,OR(C85="",C85="&lt;Enter detailed description here; use Comments section if needed&gt;")),"NO DESCRIPTION PROVIDED - please enter detailed description in Other box at left; use Comments section below if needed.","")</f>
        <v/>
      </c>
      <c r="V85" s="2799"/>
      <c r="W85" s="3629"/>
      <c r="X85" s="3630"/>
      <c r="AZ85" s="1808"/>
      <c r="BA85" s="1773">
        <v>85</v>
      </c>
    </row>
    <row r="86" spans="1:53" s="289" customFormat="1" ht="12" customHeight="1" thickTop="1">
      <c r="F86" s="338" t="s">
        <v>183</v>
      </c>
      <c r="G86" s="3706">
        <f>SUM(G75:G85)</f>
        <v>439000</v>
      </c>
      <c r="H86" s="3707"/>
      <c r="J86" s="3706">
        <f>SUM(J75:J85)</f>
        <v>419000</v>
      </c>
      <c r="K86" s="3707"/>
      <c r="L86" s="340"/>
      <c r="M86" s="3706">
        <f>SUM(M75:M85)</f>
        <v>0</v>
      </c>
      <c r="N86" s="3707"/>
      <c r="P86" s="3706">
        <f>SUM(P75:P85)</f>
        <v>0</v>
      </c>
      <c r="Q86" s="3707"/>
      <c r="S86" s="3706">
        <f>SUM(S75:S85)</f>
        <v>20000</v>
      </c>
      <c r="T86" s="3707"/>
      <c r="V86" s="2801">
        <f>SUM(V75:V85)</f>
        <v>0</v>
      </c>
      <c r="W86" s="3645"/>
      <c r="X86" s="3646"/>
      <c r="AZ86" s="1808" t="s">
        <v>6692</v>
      </c>
      <c r="BA86" s="1773">
        <v>86</v>
      </c>
    </row>
    <row r="87" spans="1:53" ht="12" customHeight="1">
      <c r="A87" s="289"/>
      <c r="B87" s="291" t="s">
        <v>1221</v>
      </c>
      <c r="C87" s="289"/>
      <c r="D87" s="788" t="s">
        <v>3361</v>
      </c>
      <c r="E87" s="861">
        <f>G92/'Part VI-Revenues &amp; Expenses'!$P$67</f>
        <v>2317.0208333333335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2">
        <v>10017</v>
      </c>
      <c r="H88" s="3553"/>
      <c r="J88" s="3552">
        <v>10017</v>
      </c>
      <c r="K88" s="3553"/>
      <c r="L88" s="2644"/>
      <c r="M88" s="3552"/>
      <c r="N88" s="3553"/>
      <c r="P88" s="3552"/>
      <c r="Q88" s="3553"/>
      <c r="S88" s="3552"/>
      <c r="T88" s="3553"/>
      <c r="V88" s="2799"/>
      <c r="W88" s="3627"/>
      <c r="X88" s="3628"/>
      <c r="AZ88" s="1808"/>
      <c r="BA88" s="1773">
        <v>88</v>
      </c>
    </row>
    <row r="89" spans="1:53" s="289" customFormat="1" ht="12" customHeight="1">
      <c r="B89" s="289" t="s">
        <v>1223</v>
      </c>
      <c r="G89" s="3540"/>
      <c r="H89" s="3541"/>
      <c r="J89" s="3540"/>
      <c r="K89" s="3541"/>
      <c r="L89" s="2644"/>
      <c r="M89" s="3540"/>
      <c r="N89" s="3541"/>
      <c r="P89" s="3540"/>
      <c r="Q89" s="3541"/>
      <c r="S89" s="3540"/>
      <c r="T89" s="3541"/>
      <c r="V89" s="2799"/>
      <c r="W89" s="3627"/>
      <c r="X89" s="3628"/>
      <c r="AZ89" s="1808"/>
      <c r="BA89" s="1773">
        <v>89</v>
      </c>
    </row>
    <row r="90" spans="1:53" s="289" customFormat="1" ht="12" customHeight="1">
      <c r="B90" s="289" t="s">
        <v>1224</v>
      </c>
      <c r="D90" s="346" t="s">
        <v>1353</v>
      </c>
      <c r="E90" s="2805" t="s">
        <v>2772</v>
      </c>
      <c r="G90" s="3540">
        <v>48000</v>
      </c>
      <c r="H90" s="3541"/>
      <c r="I90" s="307"/>
      <c r="J90" s="3540">
        <v>48000</v>
      </c>
      <c r="K90" s="3541"/>
      <c r="L90" s="2644"/>
      <c r="M90" s="3540"/>
      <c r="N90" s="3541"/>
      <c r="P90" s="3540"/>
      <c r="Q90" s="3541"/>
      <c r="S90" s="3540"/>
      <c r="T90" s="3541"/>
      <c r="V90" s="2799"/>
      <c r="W90" s="3627"/>
      <c r="X90" s="3628"/>
      <c r="AZ90" s="1808"/>
      <c r="BA90" s="1773">
        <v>90</v>
      </c>
    </row>
    <row r="91" spans="1:53" s="289" customFormat="1" ht="12" customHeight="1" thickBot="1">
      <c r="B91" s="289" t="s">
        <v>1225</v>
      </c>
      <c r="D91" s="346" t="s">
        <v>1353</v>
      </c>
      <c r="E91" s="2806" t="s">
        <v>2772</v>
      </c>
      <c r="G91" s="3544">
        <v>53200</v>
      </c>
      <c r="H91" s="3545"/>
      <c r="I91" s="307"/>
      <c r="J91" s="3544">
        <v>53200</v>
      </c>
      <c r="K91" s="3545"/>
      <c r="L91" s="2644"/>
      <c r="M91" s="3544"/>
      <c r="N91" s="3545"/>
      <c r="P91" s="3544"/>
      <c r="Q91" s="3545"/>
      <c r="S91" s="3544"/>
      <c r="T91" s="3545"/>
      <c r="V91" s="2799"/>
      <c r="W91" s="3629"/>
      <c r="X91" s="3630"/>
      <c r="AZ91" s="1808"/>
      <c r="BA91" s="1773">
        <v>91</v>
      </c>
    </row>
    <row r="92" spans="1:53" s="289" customFormat="1" ht="12" customHeight="1" thickTop="1">
      <c r="F92" s="338" t="s">
        <v>183</v>
      </c>
      <c r="G92" s="3706">
        <f>SUM(G88:G91)</f>
        <v>111217</v>
      </c>
      <c r="H92" s="3707"/>
      <c r="J92" s="3706">
        <f>SUM(J88:J91)</f>
        <v>111217</v>
      </c>
      <c r="K92" s="3707"/>
      <c r="L92" s="340"/>
      <c r="M92" s="3706">
        <f>SUM(M88:M91)</f>
        <v>0</v>
      </c>
      <c r="N92" s="3707"/>
      <c r="P92" s="3706">
        <f>SUM(P88:P91)</f>
        <v>0</v>
      </c>
      <c r="Q92" s="3707"/>
      <c r="S92" s="3706">
        <f>SUM(S88:S91)</f>
        <v>0</v>
      </c>
      <c r="T92" s="3707"/>
      <c r="V92" s="2801">
        <f>SUM(V88:V91)</f>
        <v>0</v>
      </c>
      <c r="W92" s="3645"/>
      <c r="X92" s="364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9" t="s">
        <v>260</v>
      </c>
      <c r="K94" s="3690"/>
      <c r="L94" s="337"/>
      <c r="M94" s="3715" t="s">
        <v>468</v>
      </c>
      <c r="N94" s="3716"/>
      <c r="P94" s="3689" t="s">
        <v>261</v>
      </c>
      <c r="Q94" s="3690"/>
      <c r="S94" s="3689" t="s">
        <v>262</v>
      </c>
      <c r="T94" s="3690"/>
      <c r="V94" s="411" t="str">
        <f>B94</f>
        <v>DEVELOPMENT BUDGET  (cont'd)</v>
      </c>
      <c r="AZ94" s="1808"/>
      <c r="BA94" s="1773">
        <v>102</v>
      </c>
    </row>
    <row r="95" spans="1:53" s="289" customFormat="1" ht="18" customHeight="1" thickBot="1">
      <c r="G95" s="3719" t="s">
        <v>94</v>
      </c>
      <c r="H95" s="3720"/>
      <c r="J95" s="3691"/>
      <c r="K95" s="3692"/>
      <c r="L95" s="337"/>
      <c r="M95" s="3717"/>
      <c r="N95" s="3718"/>
      <c r="P95" s="3691"/>
      <c r="Q95" s="3692"/>
      <c r="S95" s="3691"/>
      <c r="T95" s="3692"/>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52">
        <v>4800</v>
      </c>
      <c r="H97" s="3553"/>
      <c r="J97" s="3714"/>
      <c r="K97" s="3714"/>
      <c r="L97" s="2644"/>
      <c r="M97" s="3714"/>
      <c r="N97" s="3714"/>
      <c r="P97" s="3714"/>
      <c r="Q97" s="3714"/>
      <c r="S97" s="3552">
        <v>4800</v>
      </c>
      <c r="T97" s="3553"/>
      <c r="V97" s="2799"/>
      <c r="W97" s="3627"/>
      <c r="X97" s="3628"/>
      <c r="AZ97" s="1808" t="s">
        <v>6694</v>
      </c>
      <c r="BA97" s="1773">
        <v>94</v>
      </c>
    </row>
    <row r="98" spans="1:53" s="289" customFormat="1" ht="12" customHeight="1">
      <c r="B98" s="289" t="s">
        <v>1227</v>
      </c>
      <c r="G98" s="3540">
        <v>20000</v>
      </c>
      <c r="H98" s="3541"/>
      <c r="J98" s="3714"/>
      <c r="K98" s="3714"/>
      <c r="L98" s="2644"/>
      <c r="M98" s="3714"/>
      <c r="N98" s="3714"/>
      <c r="P98" s="3714"/>
      <c r="Q98" s="3714"/>
      <c r="S98" s="3540">
        <v>20000</v>
      </c>
      <c r="T98" s="3541"/>
      <c r="V98" s="2799"/>
      <c r="W98" s="3627"/>
      <c r="X98" s="3628"/>
      <c r="AZ98" s="1808"/>
      <c r="BA98" s="1773">
        <v>95</v>
      </c>
    </row>
    <row r="99" spans="1:53" s="289" customFormat="1" ht="12" customHeight="1">
      <c r="B99" s="289" t="s">
        <v>1228</v>
      </c>
      <c r="G99" s="3540">
        <v>10000</v>
      </c>
      <c r="H99" s="3541"/>
      <c r="J99" s="3714"/>
      <c r="K99" s="3714"/>
      <c r="L99" s="2644"/>
      <c r="M99" s="3714"/>
      <c r="N99" s="3714"/>
      <c r="P99" s="3714"/>
      <c r="Q99" s="3714"/>
      <c r="S99" s="3540">
        <v>10000</v>
      </c>
      <c r="T99" s="3541"/>
      <c r="V99" s="2799"/>
      <c r="W99" s="3627"/>
      <c r="X99" s="3628"/>
      <c r="AZ99" s="1808"/>
      <c r="BA99" s="1773">
        <v>96</v>
      </c>
    </row>
    <row r="100" spans="1:53" s="289" customFormat="1" ht="12" customHeight="1">
      <c r="B100" s="289" t="s">
        <v>1230</v>
      </c>
      <c r="G100" s="3540"/>
      <c r="H100" s="3541"/>
      <c r="J100" s="3714"/>
      <c r="K100" s="3714"/>
      <c r="L100" s="2644"/>
      <c r="M100" s="3714"/>
      <c r="N100" s="3714"/>
      <c r="P100" s="3714"/>
      <c r="Q100" s="3714"/>
      <c r="S100" s="3540"/>
      <c r="T100" s="3541"/>
      <c r="V100" s="2799"/>
      <c r="W100" s="3627"/>
      <c r="X100" s="3628"/>
      <c r="AZ100" s="1808"/>
      <c r="BA100" s="1773">
        <v>97</v>
      </c>
    </row>
    <row r="101" spans="1:53" s="289" customFormat="1" ht="12" customHeight="1">
      <c r="B101" s="289" t="s">
        <v>2195</v>
      </c>
      <c r="G101" s="3540"/>
      <c r="H101" s="3541"/>
      <c r="J101" s="3714"/>
      <c r="K101" s="3714"/>
      <c r="L101" s="2644"/>
      <c r="M101" s="3714"/>
      <c r="N101" s="3714"/>
      <c r="P101" s="3714"/>
      <c r="Q101" s="3714"/>
      <c r="S101" s="3540"/>
      <c r="T101" s="3541"/>
      <c r="V101" s="2799"/>
      <c r="W101" s="3627"/>
      <c r="X101" s="3628"/>
      <c r="AZ101" s="1808"/>
      <c r="BA101" s="1773">
        <v>98</v>
      </c>
    </row>
    <row r="102" spans="1:53" s="289" customFormat="1" ht="12" customHeight="1" thickBot="1">
      <c r="A102" s="363" t="str">
        <f>IF(AND(G102&gt;0,OR(C102="",C102="&lt;Enter detailed description here; use Comments section if needed&gt;")),"X","")</f>
        <v/>
      </c>
      <c r="B102" s="170" t="s">
        <v>6584</v>
      </c>
      <c r="C102" s="3704" t="s">
        <v>3343</v>
      </c>
      <c r="D102" s="3704"/>
      <c r="E102" s="3704"/>
      <c r="F102" s="3705"/>
      <c r="G102" s="3544"/>
      <c r="H102" s="3545"/>
      <c r="J102" s="3714"/>
      <c r="K102" s="3714"/>
      <c r="L102" s="2644"/>
      <c r="M102" s="3714"/>
      <c r="N102" s="3714"/>
      <c r="P102" s="3714"/>
      <c r="Q102" s="3714"/>
      <c r="S102" s="3544"/>
      <c r="T102" s="3545"/>
      <c r="U102" s="362" t="str">
        <f>IF(AND(G102&gt;0,OR(C102="",C102="&lt;Enter detailed description here; use Comments section if needed&gt;")),"NO DESCRIPTION PROVIDED - please enter detailed description in Other box at left; use Comments section below if needed.","")</f>
        <v/>
      </c>
      <c r="V102" s="2799"/>
      <c r="W102" s="3629"/>
      <c r="X102" s="3630"/>
      <c r="AZ102" s="1808"/>
      <c r="BA102" s="1773">
        <v>99</v>
      </c>
    </row>
    <row r="103" spans="1:53" s="289" customFormat="1" ht="12" customHeight="1" thickTop="1">
      <c r="F103" s="338" t="s">
        <v>183</v>
      </c>
      <c r="G103" s="3706">
        <f>SUM(G97:G102)</f>
        <v>34800</v>
      </c>
      <c r="H103" s="3707"/>
      <c r="J103" s="3714"/>
      <c r="K103" s="3714"/>
      <c r="L103" s="340"/>
      <c r="M103" s="3714"/>
      <c r="N103" s="3714"/>
      <c r="P103" s="3714"/>
      <c r="Q103" s="3714"/>
      <c r="S103" s="3706">
        <f>SUM(S97:S102)</f>
        <v>34800</v>
      </c>
      <c r="T103" s="3707"/>
      <c r="V103" s="2801">
        <f>SUM(V97:V102)</f>
        <v>0</v>
      </c>
      <c r="W103" s="3645"/>
      <c r="X103" s="364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2">
        <v>1000</v>
      </c>
      <c r="H105" s="3553"/>
      <c r="J105" s="340"/>
      <c r="K105" s="340"/>
      <c r="L105" s="2644"/>
      <c r="M105" s="340"/>
      <c r="N105" s="340"/>
      <c r="P105" s="340"/>
      <c r="Q105" s="340"/>
      <c r="S105" s="3552">
        <v>1000</v>
      </c>
      <c r="T105" s="3553"/>
      <c r="V105" s="2799"/>
      <c r="W105" s="3627"/>
      <c r="X105" s="3628"/>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0">
        <v>6500</v>
      </c>
      <c r="H106" s="3541"/>
      <c r="J106" s="340"/>
      <c r="K106" s="340"/>
      <c r="L106" s="347"/>
      <c r="M106" s="340"/>
      <c r="N106" s="340"/>
      <c r="P106" s="340"/>
      <c r="Q106" s="340"/>
      <c r="S106" s="3540">
        <v>6500</v>
      </c>
      <c r="T106" s="3541"/>
      <c r="V106" s="2799"/>
      <c r="W106" s="3627"/>
      <c r="X106" s="3628"/>
      <c r="AZ106" s="1808" t="s">
        <v>6695</v>
      </c>
      <c r="BA106" s="1773">
        <v>106</v>
      </c>
    </row>
    <row r="107" spans="1:53" s="289" customFormat="1" ht="12.6" customHeight="1">
      <c r="B107" s="289" t="s">
        <v>3463</v>
      </c>
      <c r="G107" s="3540"/>
      <c r="H107" s="3541"/>
      <c r="J107" s="340"/>
      <c r="K107" s="340"/>
      <c r="L107" s="347"/>
      <c r="M107" s="340"/>
      <c r="N107" s="340"/>
      <c r="O107" s="2628"/>
      <c r="P107" s="340"/>
      <c r="Q107" s="340"/>
      <c r="S107" s="3540"/>
      <c r="T107" s="3541"/>
      <c r="V107" s="2799"/>
      <c r="W107" s="3627"/>
      <c r="X107" s="3628"/>
      <c r="AZ107" s="1808" t="s">
        <v>6696</v>
      </c>
      <c r="BA107" s="1773">
        <v>107</v>
      </c>
    </row>
    <row r="108" spans="1:53" s="289" customFormat="1" ht="12.6" customHeight="1">
      <c r="B108" s="289" t="s">
        <v>494</v>
      </c>
      <c r="E108" s="3721">
        <f>ROUNDUP('DCA Underwriting Assumptions'!$Q$93*J197,0)</f>
        <v>72000</v>
      </c>
      <c r="F108" s="3722"/>
      <c r="G108" s="3540">
        <v>72000</v>
      </c>
      <c r="H108" s="3541"/>
      <c r="J108" s="862" t="str">
        <f>IF(E108&gt;G108,"WARNING!  LIHTC Allocation Fee proposed is below minimum required.","")</f>
        <v/>
      </c>
      <c r="K108" s="340"/>
      <c r="L108" s="2644"/>
      <c r="M108" s="340"/>
      <c r="N108" s="340"/>
      <c r="O108" s="2628"/>
      <c r="P108" s="340"/>
      <c r="Q108" s="340"/>
      <c r="S108" s="3540">
        <v>72000</v>
      </c>
      <c r="T108" s="3541"/>
      <c r="V108" s="2799"/>
      <c r="W108" s="3627"/>
      <c r="X108" s="3628"/>
      <c r="AZ108" s="1808" t="s">
        <v>6697</v>
      </c>
      <c r="BA108" s="1773">
        <v>108</v>
      </c>
    </row>
    <row r="109" spans="1:53" s="289" customFormat="1" ht="12.6" customHeight="1">
      <c r="B109" s="289" t="s">
        <v>723</v>
      </c>
      <c r="E109" s="372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22"/>
      <c r="G109" s="3540">
        <v>48000</v>
      </c>
      <c r="H109" s="3541"/>
      <c r="I109" s="3756" t="str">
        <f>IF(E109&gt;G109,"WARNING!  LIHTC Compliance Fee proposed is below minimum required.","")</f>
        <v/>
      </c>
      <c r="J109" s="3757"/>
      <c r="K109" s="3757"/>
      <c r="L109" s="3757"/>
      <c r="M109" s="3757"/>
      <c r="N109" s="3757"/>
      <c r="O109" s="3757"/>
      <c r="P109" s="3757"/>
      <c r="Q109" s="3757"/>
      <c r="R109" s="3758"/>
      <c r="S109" s="3540">
        <v>48000</v>
      </c>
      <c r="T109" s="3541"/>
      <c r="V109" s="2799"/>
      <c r="W109" s="3627"/>
      <c r="X109" s="3628"/>
      <c r="AZ109" s="1808"/>
      <c r="BA109" s="1773">
        <v>109</v>
      </c>
    </row>
    <row r="110" spans="1:53" s="289" customFormat="1" ht="12.6" customHeight="1">
      <c r="B110" s="289" t="s">
        <v>3603</v>
      </c>
      <c r="F110" s="1034">
        <f>ROUNDUP('DCA Underwriting Assumptions'!$Q$95,0)</f>
        <v>0</v>
      </c>
      <c r="G110" s="3540">
        <v>3000</v>
      </c>
      <c r="H110" s="3541"/>
      <c r="I110" s="3756"/>
      <c r="J110" s="3757"/>
      <c r="K110" s="3757"/>
      <c r="L110" s="3757"/>
      <c r="M110" s="3757"/>
      <c r="N110" s="3757"/>
      <c r="O110" s="3757"/>
      <c r="P110" s="3757"/>
      <c r="Q110" s="3757"/>
      <c r="R110" s="3758"/>
      <c r="S110" s="3540">
        <v>3000</v>
      </c>
      <c r="T110" s="3541"/>
      <c r="V110" s="2799"/>
      <c r="W110" s="3627"/>
      <c r="X110" s="3628"/>
      <c r="AZ110" s="1808"/>
      <c r="BA110" s="1773">
        <v>110</v>
      </c>
    </row>
    <row r="111" spans="1:53" s="289" customFormat="1" ht="12.6" customHeight="1">
      <c r="B111" s="289" t="s">
        <v>3604</v>
      </c>
      <c r="F111" s="1034">
        <f>ROUNDUP('DCA Underwriting Assumptions'!$Q$128,0)</f>
        <v>3000</v>
      </c>
      <c r="G111" s="3540">
        <v>3000</v>
      </c>
      <c r="H111" s="3541"/>
      <c r="J111" s="267"/>
      <c r="K111" s="267"/>
      <c r="L111" s="267"/>
      <c r="M111" s="267"/>
      <c r="N111" s="267"/>
      <c r="O111" s="267"/>
      <c r="P111" s="267"/>
      <c r="Q111" s="267"/>
      <c r="S111" s="3540">
        <v>3000</v>
      </c>
      <c r="T111" s="3541"/>
      <c r="V111" s="2799"/>
      <c r="W111" s="3627"/>
      <c r="X111" s="3628"/>
      <c r="AZ111" s="1808"/>
      <c r="BA111" s="1773">
        <v>111</v>
      </c>
    </row>
    <row r="112" spans="1:53" s="289" customFormat="1" ht="12.6" customHeight="1">
      <c r="A112" s="363" t="str">
        <f>IF(AND(G112&gt;0,OR(C112="",C112="&lt;Enter detailed description here; use Comments section if needed&gt;")),"X","")</f>
        <v/>
      </c>
      <c r="B112" s="170" t="s">
        <v>6580</v>
      </c>
      <c r="C112" s="3723" t="s">
        <v>3343</v>
      </c>
      <c r="D112" s="3723"/>
      <c r="E112" s="3723"/>
      <c r="F112" s="3724"/>
      <c r="G112" s="3540"/>
      <c r="H112" s="3541"/>
      <c r="J112" s="267"/>
      <c r="K112" s="267"/>
      <c r="L112" s="267"/>
      <c r="M112" s="267"/>
      <c r="N112" s="267"/>
      <c r="O112" s="267"/>
      <c r="P112" s="267"/>
      <c r="Q112" s="267"/>
      <c r="S112" s="3540"/>
      <c r="T112" s="3541"/>
      <c r="U112" s="362" t="str">
        <f>IF(AND(G112&gt;0,OR(C112="",C112="&lt;Enter detailed description here; use Comments section if needed&gt;")),"NO DESCRIPTION PROVIDED - please enter detailed description in Other box at left; use Comments section below if needed.","")</f>
        <v/>
      </c>
      <c r="V112" s="2799"/>
      <c r="W112" s="3627"/>
      <c r="X112" s="3628"/>
      <c r="AZ112" s="1808"/>
      <c r="BA112" s="1773">
        <v>112</v>
      </c>
    </row>
    <row r="113" spans="1:53" s="289" customFormat="1" ht="12.6" customHeight="1" thickBot="1">
      <c r="A113" s="363" t="str">
        <f>IF(AND(G113&gt;0,OR(C113="",C113="&lt;Enter detailed description here; use Comments section if needed&gt;")),"X","")</f>
        <v/>
      </c>
      <c r="B113" s="170" t="s">
        <v>6580</v>
      </c>
      <c r="C113" s="3725" t="s">
        <v>3343</v>
      </c>
      <c r="D113" s="3725"/>
      <c r="E113" s="3725"/>
      <c r="F113" s="3726"/>
      <c r="G113" s="3544"/>
      <c r="H113" s="3545"/>
      <c r="J113" s="267"/>
      <c r="K113" s="267"/>
      <c r="L113" s="267"/>
      <c r="M113" s="267"/>
      <c r="N113" s="267"/>
      <c r="O113" s="267"/>
      <c r="P113" s="267"/>
      <c r="Q113" s="267"/>
      <c r="S113" s="3544"/>
      <c r="T113" s="3545"/>
      <c r="U113" s="362" t="str">
        <f>IF(AND(G113&gt;0,OR(C113="",C113="&lt;Enter detailed description here; use Comments section if needed&gt;")),"NO DESCRIPTION PROVIDED - please enter detailed description in Other box at left; use Comments section below if needed.","")</f>
        <v/>
      </c>
      <c r="V113" s="2799"/>
      <c r="W113" s="3629"/>
      <c r="X113" s="3630"/>
      <c r="AZ113" s="1808" t="s">
        <v>6698</v>
      </c>
      <c r="BA113" s="1773">
        <v>113</v>
      </c>
    </row>
    <row r="114" spans="1:53" s="289" customFormat="1" ht="12.6" customHeight="1" thickTop="1">
      <c r="F114" s="338" t="s">
        <v>183</v>
      </c>
      <c r="G114" s="3706">
        <f>SUM(G105:G113)</f>
        <v>133500</v>
      </c>
      <c r="H114" s="3707"/>
      <c r="J114" s="340"/>
      <c r="K114" s="340"/>
      <c r="L114" s="2644"/>
      <c r="M114" s="340"/>
      <c r="N114" s="340"/>
      <c r="P114" s="340"/>
      <c r="Q114" s="340"/>
      <c r="S114" s="3706">
        <f>SUM(S105:S113)</f>
        <v>133500</v>
      </c>
      <c r="T114" s="3707"/>
      <c r="V114" s="2801">
        <f>SUM(V105:V113)</f>
        <v>0</v>
      </c>
      <c r="W114" s="3631"/>
      <c r="X114" s="3632"/>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2">
        <v>2500</v>
      </c>
      <c r="H116" s="3553"/>
      <c r="J116" s="3714"/>
      <c r="K116" s="3714"/>
      <c r="L116" s="2644"/>
      <c r="M116" s="3714"/>
      <c r="N116" s="3714"/>
      <c r="O116" s="2628"/>
      <c r="P116" s="3714"/>
      <c r="Q116" s="3714"/>
      <c r="S116" s="3552">
        <v>2500</v>
      </c>
      <c r="T116" s="3553"/>
      <c r="V116" s="2799"/>
      <c r="W116" s="3627"/>
      <c r="X116" s="3628"/>
      <c r="AZ116" s="2807"/>
      <c r="BA116" s="1773">
        <v>116</v>
      </c>
    </row>
    <row r="117" spans="1:53" s="289" customFormat="1" ht="12.6" customHeight="1">
      <c r="B117" s="289" t="s">
        <v>269</v>
      </c>
      <c r="G117" s="3540"/>
      <c r="H117" s="3541"/>
      <c r="J117" s="3714"/>
      <c r="K117" s="3714"/>
      <c r="L117" s="2644"/>
      <c r="M117" s="3714"/>
      <c r="N117" s="3714"/>
      <c r="O117" s="2628"/>
      <c r="P117" s="3714"/>
      <c r="Q117" s="3714"/>
      <c r="S117" s="3540"/>
      <c r="T117" s="3541"/>
      <c r="V117" s="2799"/>
      <c r="W117" s="3627"/>
      <c r="X117" s="3628"/>
      <c r="AZ117" s="2807"/>
      <c r="BA117" s="1773">
        <v>117</v>
      </c>
    </row>
    <row r="118" spans="1:53" s="289" customFormat="1" ht="12.6" customHeight="1">
      <c r="B118" s="289" t="s">
        <v>2279</v>
      </c>
      <c r="G118" s="3540"/>
      <c r="H118" s="3541"/>
      <c r="J118" s="3714"/>
      <c r="K118" s="3714"/>
      <c r="L118" s="2644"/>
      <c r="M118" s="3714"/>
      <c r="N118" s="3714"/>
      <c r="O118" s="2628"/>
      <c r="P118" s="3714"/>
      <c r="Q118" s="3714"/>
      <c r="S118" s="3540"/>
      <c r="T118" s="3541"/>
      <c r="V118" s="2799"/>
      <c r="W118" s="3627"/>
      <c r="X118" s="3628"/>
      <c r="AZ118" s="2807"/>
      <c r="BA118" s="1773">
        <v>118</v>
      </c>
    </row>
    <row r="119" spans="1:53" s="289" customFormat="1" ht="12.6" customHeight="1" thickBot="1">
      <c r="A119" s="363" t="str">
        <f>IF(AND(G119&gt;0,OR(C119="",C119="&lt;Enter detailed description here; use Comments section if needed&gt;")),"X","")</f>
        <v/>
      </c>
      <c r="B119" s="170" t="s">
        <v>6580</v>
      </c>
      <c r="C119" s="3704" t="s">
        <v>3343</v>
      </c>
      <c r="D119" s="3704"/>
      <c r="E119" s="3704"/>
      <c r="F119" s="3705"/>
      <c r="G119" s="3544"/>
      <c r="H119" s="3545"/>
      <c r="J119" s="3714"/>
      <c r="K119" s="3714"/>
      <c r="L119" s="2644"/>
      <c r="M119" s="3714"/>
      <c r="N119" s="3714"/>
      <c r="O119" s="2628"/>
      <c r="P119" s="3714"/>
      <c r="Q119" s="3714"/>
      <c r="S119" s="3544"/>
      <c r="T119" s="3545"/>
      <c r="U119" s="362" t="str">
        <f>IF(AND(G119&gt;0,OR(C119="",C119="&lt;Enter detailed description here; use Comments section if needed&gt;")),"NO DESCRIPTION PROVIDED - please enter detailed description in Other box at left; use Comments section below if needed.","")</f>
        <v/>
      </c>
      <c r="V119" s="2799"/>
      <c r="W119" s="3629"/>
      <c r="X119" s="3630"/>
      <c r="AZ119" s="2807"/>
      <c r="BA119" s="1773">
        <v>119</v>
      </c>
    </row>
    <row r="120" spans="1:53" s="289" customFormat="1" ht="12.6" customHeight="1" thickTop="1">
      <c r="F120" s="338" t="s">
        <v>183</v>
      </c>
      <c r="G120" s="3706">
        <f>SUM(G116:G119)</f>
        <v>2500</v>
      </c>
      <c r="H120" s="3707"/>
      <c r="J120" s="3714"/>
      <c r="K120" s="3714"/>
      <c r="L120" s="2644"/>
      <c r="M120" s="3714"/>
      <c r="N120" s="3714"/>
      <c r="O120" s="2628"/>
      <c r="P120" s="3714"/>
      <c r="Q120" s="3714"/>
      <c r="S120" s="3706">
        <f>SUM(S116:S119)</f>
        <v>2500</v>
      </c>
      <c r="T120" s="3707"/>
      <c r="V120" s="2801">
        <f>SUM(V116:V119)</f>
        <v>0</v>
      </c>
      <c r="W120" s="3645"/>
      <c r="X120" s="3646"/>
      <c r="AC120" s="3752" t="s">
        <v>4114</v>
      </c>
      <c r="AD120" s="3752" t="s">
        <v>4115</v>
      </c>
      <c r="AE120" s="3754" t="s">
        <v>4120</v>
      </c>
      <c r="AF120" s="3740" t="s">
        <v>4116</v>
      </c>
      <c r="AZ120" s="2807"/>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4105</v>
      </c>
      <c r="Z121" s="1371"/>
      <c r="AA121" s="274" t="s">
        <v>4111</v>
      </c>
      <c r="AB121" s="274" t="s">
        <v>4112</v>
      </c>
      <c r="AC121" s="3753"/>
      <c r="AD121" s="3753"/>
      <c r="AE121" s="3755"/>
      <c r="AF121" s="3741"/>
      <c r="AI121" s="27"/>
      <c r="AK121" s="418"/>
      <c r="AZ121" s="2807" t="s">
        <v>6700</v>
      </c>
      <c r="BA121" s="1773">
        <v>121</v>
      </c>
    </row>
    <row r="122" spans="1:53" s="289" customFormat="1" ht="12.6" customHeight="1">
      <c r="B122" s="289" t="s">
        <v>1774</v>
      </c>
      <c r="F122" s="388">
        <f>IF($G$127=0,0,G122/$G$127)</f>
        <v>0.20833333333333334</v>
      </c>
      <c r="G122" s="3711">
        <v>250000</v>
      </c>
      <c r="H122" s="3711"/>
      <c r="J122" s="3712">
        <v>250000</v>
      </c>
      <c r="K122" s="3713"/>
      <c r="L122" s="339"/>
      <c r="M122" s="3712"/>
      <c r="N122" s="3713"/>
      <c r="P122" s="3712"/>
      <c r="Q122" s="3713"/>
      <c r="S122" s="3712"/>
      <c r="T122" s="3713"/>
      <c r="V122" s="2799"/>
      <c r="W122" s="3627"/>
      <c r="X122" s="3628"/>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1200000</v>
      </c>
      <c r="AF122" s="3742">
        <f>SUM(AE122:AE124)</f>
        <v>1200000</v>
      </c>
      <c r="AI122" s="27"/>
      <c r="AZ122" s="2807"/>
      <c r="BA122" s="1773">
        <v>122</v>
      </c>
    </row>
    <row r="123" spans="1:53" s="289" customFormat="1" ht="12.6" customHeight="1">
      <c r="B123" s="289" t="s">
        <v>3565</v>
      </c>
      <c r="F123" s="2812">
        <v>250000</v>
      </c>
      <c r="V123" s="2799"/>
      <c r="W123" s="3627"/>
      <c r="X123" s="3628"/>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743"/>
      <c r="AI123" s="27"/>
      <c r="AZ123" s="2807"/>
      <c r="BA123" s="1773">
        <v>123</v>
      </c>
    </row>
    <row r="124" spans="1:53" s="289" customFormat="1" ht="12.6" customHeight="1">
      <c r="B124" s="289" t="s">
        <v>1775</v>
      </c>
      <c r="F124" s="388">
        <f>IF($G$127=0,0,G124/$G$127)</f>
        <v>0</v>
      </c>
      <c r="G124" s="3552"/>
      <c r="H124" s="3553"/>
      <c r="J124" s="3552"/>
      <c r="K124" s="3553"/>
      <c r="L124" s="2644"/>
      <c r="M124" s="3552"/>
      <c r="N124" s="3553"/>
      <c r="P124" s="3552"/>
      <c r="Q124" s="3553"/>
      <c r="S124" s="3552"/>
      <c r="T124" s="3553"/>
      <c r="V124" s="2799"/>
      <c r="W124" s="3627"/>
      <c r="X124" s="3628"/>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44"/>
      <c r="AI124" s="27"/>
      <c r="AZ124" s="2807"/>
      <c r="BA124" s="1773">
        <v>124</v>
      </c>
    </row>
    <row r="125" spans="1:53" s="289" customFormat="1" ht="12.6" customHeight="1">
      <c r="B125" s="289" t="s">
        <v>3285</v>
      </c>
      <c r="F125" s="388">
        <f>IF($G$127=0,0,G125/$G$127)</f>
        <v>0</v>
      </c>
      <c r="G125" s="3540"/>
      <c r="H125" s="3541"/>
      <c r="J125" s="3540"/>
      <c r="K125" s="3541"/>
      <c r="L125" s="2644"/>
      <c r="M125" s="3540"/>
      <c r="N125" s="3541"/>
      <c r="P125" s="3540"/>
      <c r="Q125" s="3541"/>
      <c r="S125" s="3540"/>
      <c r="T125" s="3541"/>
      <c r="V125" s="2799"/>
      <c r="W125" s="3627"/>
      <c r="X125" s="3628"/>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984000</v>
      </c>
      <c r="AF125" s="3742">
        <f>SUM(AE125:AE127)</f>
        <v>984000</v>
      </c>
      <c r="AG125" s="757">
        <f>51*AC125</f>
        <v>1045500</v>
      </c>
      <c r="AI125" s="27"/>
      <c r="AZ125" s="2807"/>
      <c r="BA125" s="1773">
        <v>125</v>
      </c>
    </row>
    <row r="126" spans="1:53" s="289" customFormat="1" ht="12.6" customHeight="1" thickBot="1">
      <c r="B126" s="289" t="s">
        <v>1767</v>
      </c>
      <c r="F126" s="388">
        <f>IF($G$127=0,0,G126/$G$127)</f>
        <v>0.79166666666666663</v>
      </c>
      <c r="G126" s="3544">
        <v>950000</v>
      </c>
      <c r="H126" s="3545"/>
      <c r="J126" s="3544">
        <v>950000</v>
      </c>
      <c r="K126" s="3545"/>
      <c r="L126" s="2644"/>
      <c r="M126" s="3544"/>
      <c r="N126" s="3545"/>
      <c r="P126" s="3544"/>
      <c r="Q126" s="3545"/>
      <c r="S126" s="3544"/>
      <c r="T126" s="3545"/>
      <c r="V126" s="2799"/>
      <c r="W126" s="3629"/>
      <c r="X126" s="3630"/>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3"/>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1200000</v>
      </c>
      <c r="F127" s="338" t="s">
        <v>183</v>
      </c>
      <c r="G127" s="3706">
        <f>SUM(G122:G126)</f>
        <v>1200000</v>
      </c>
      <c r="H127" s="3708"/>
      <c r="J127" s="3706">
        <f>SUM(J122:J126)</f>
        <v>1200000</v>
      </c>
      <c r="K127" s="3708"/>
      <c r="L127" s="2644"/>
      <c r="M127" s="3706">
        <f>SUM(M122:M126)</f>
        <v>0</v>
      </c>
      <c r="N127" s="3708"/>
      <c r="P127" s="3706">
        <f>SUM(P122:P126)</f>
        <v>0</v>
      </c>
      <c r="Q127" s="3708"/>
      <c r="S127" s="3706">
        <f>SUM(S122:S126)</f>
        <v>0</v>
      </c>
      <c r="T127" s="3708"/>
      <c r="V127" s="2801">
        <f>SUM(V122:V126)</f>
        <v>0</v>
      </c>
      <c r="W127" s="3645"/>
      <c r="X127" s="364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4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52">
        <v>32000</v>
      </c>
      <c r="H129" s="3553"/>
      <c r="J129" s="348"/>
      <c r="K129" s="348"/>
      <c r="L129" s="348"/>
      <c r="M129" s="348"/>
      <c r="N129" s="348"/>
      <c r="P129" s="348"/>
      <c r="Q129" s="348"/>
      <c r="S129" s="3552">
        <v>32000</v>
      </c>
      <c r="T129" s="3553"/>
      <c r="V129" s="2799"/>
      <c r="W129" s="3627"/>
      <c r="X129" s="3628"/>
      <c r="Y129" s="1371" t="s">
        <v>4107</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58589.5</v>
      </c>
      <c r="G130" s="3540">
        <v>58590</v>
      </c>
      <c r="H130" s="3541"/>
      <c r="J130" s="864" t="str">
        <f>IF(E130&gt;G130,"WARNING! Rent-Up Reserves proposed is below minimum - add comment.","")</f>
        <v/>
      </c>
      <c r="K130" s="864"/>
      <c r="L130" s="2644"/>
      <c r="M130" s="838"/>
      <c r="N130" s="838"/>
      <c r="O130" s="2628"/>
      <c r="P130" s="838"/>
      <c r="Q130" s="838"/>
      <c r="R130" s="2628"/>
      <c r="S130" s="3540">
        <v>58590</v>
      </c>
      <c r="T130" s="3541"/>
      <c r="V130" s="2799"/>
      <c r="W130" s="3627"/>
      <c r="X130" s="3628"/>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143859.83442584268</v>
      </c>
      <c r="G131" s="3540">
        <v>143860</v>
      </c>
      <c r="H131" s="3541"/>
      <c r="J131" s="864" t="str">
        <f>IF(E131&gt;G131,"WARNING! ODR proposed is below minimum - add comment.","")</f>
        <v/>
      </c>
      <c r="K131" s="347"/>
      <c r="L131" s="347"/>
      <c r="M131" s="347"/>
      <c r="N131" s="347"/>
      <c r="O131" s="2628"/>
      <c r="P131" s="347"/>
      <c r="Q131" s="347"/>
      <c r="R131" s="2628"/>
      <c r="S131" s="3540">
        <v>143860</v>
      </c>
      <c r="T131" s="3541"/>
      <c r="V131" s="2799"/>
      <c r="W131" s="3627"/>
      <c r="X131" s="3628"/>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0"/>
      <c r="H132" s="3541"/>
      <c r="J132" s="348"/>
      <c r="K132" s="348"/>
      <c r="L132" s="348"/>
      <c r="M132" s="348"/>
      <c r="N132" s="348"/>
      <c r="P132" s="348"/>
      <c r="Q132" s="348"/>
      <c r="S132" s="3540"/>
      <c r="T132" s="3541"/>
      <c r="V132" s="2799"/>
      <c r="W132" s="3627"/>
      <c r="X132" s="3628"/>
      <c r="AZ132" s="1808" t="s">
        <v>6703</v>
      </c>
      <c r="BA132" s="1773">
        <v>132</v>
      </c>
    </row>
    <row r="133" spans="1:53" s="289" customFormat="1" ht="12.6" customHeight="1">
      <c r="B133" s="289" t="s">
        <v>1199</v>
      </c>
      <c r="E133" s="753" t="s">
        <v>3259</v>
      </c>
      <c r="F133" s="438">
        <f>IF('Part VI-Revenues &amp; Expenses'!$P$67=0,0,G133/'Part VI-Revenues &amp; Expenses'!$P$67)</f>
        <v>937.5</v>
      </c>
      <c r="G133" s="3540">
        <v>45000</v>
      </c>
      <c r="H133" s="3541"/>
      <c r="J133" s="3552">
        <v>45000</v>
      </c>
      <c r="K133" s="3553"/>
      <c r="L133" s="2644"/>
      <c r="M133" s="3552"/>
      <c r="N133" s="3553"/>
      <c r="P133" s="3552"/>
      <c r="Q133" s="3553"/>
      <c r="S133" s="3540"/>
      <c r="T133" s="3541"/>
      <c r="V133" s="2799"/>
      <c r="W133" s="3627"/>
      <c r="X133" s="3628"/>
      <c r="AZ133" s="1808" t="s">
        <v>6704</v>
      </c>
      <c r="BA133" s="1773">
        <v>133</v>
      </c>
    </row>
    <row r="134" spans="1:53" s="289" customFormat="1" ht="12.6" customHeight="1" thickBot="1">
      <c r="A134" s="363" t="str">
        <f>IF(AND(G134&gt;0,OR(C134="",C134="&lt;Enter detailed description here; use Comments section if needed&gt;")),"X","")</f>
        <v/>
      </c>
      <c r="B134" s="170" t="s">
        <v>6580</v>
      </c>
      <c r="C134" s="3704" t="s">
        <v>3343</v>
      </c>
      <c r="D134" s="3704"/>
      <c r="E134" s="3704"/>
      <c r="F134" s="3705"/>
      <c r="G134" s="3544"/>
      <c r="H134" s="3545"/>
      <c r="J134" s="3709"/>
      <c r="K134" s="3710"/>
      <c r="L134" s="2644"/>
      <c r="M134" s="3544"/>
      <c r="N134" s="3545"/>
      <c r="P134" s="3544"/>
      <c r="Q134" s="3545"/>
      <c r="S134" s="3544"/>
      <c r="T134" s="3545"/>
      <c r="U134" s="362" t="str">
        <f>IF(AND(G134&gt;0,OR(C134="",C134="&lt;Enter detailed description here; use Comments section if needed&gt;")),"NO DESCRIPTION PROVIDED - please enter detailed description in Other box at left; use Comments section below if needed.","")</f>
        <v/>
      </c>
      <c r="V134" s="2799"/>
      <c r="W134" s="3629"/>
      <c r="X134" s="3630"/>
      <c r="AZ134" s="1808"/>
      <c r="BA134" s="1773">
        <v>134</v>
      </c>
    </row>
    <row r="135" spans="1:53" s="289" customFormat="1" ht="12.6" customHeight="1" thickTop="1">
      <c r="B135" s="349"/>
      <c r="F135" s="338" t="s">
        <v>183</v>
      </c>
      <c r="G135" s="3706">
        <f>SUM(G129:G134)</f>
        <v>279450</v>
      </c>
      <c r="H135" s="3707"/>
      <c r="J135" s="3706">
        <f>SUM(J133:J134)</f>
        <v>45000</v>
      </c>
      <c r="K135" s="3707"/>
      <c r="L135" s="2644"/>
      <c r="M135" s="3706">
        <f>SUM(M133:M134)</f>
        <v>0</v>
      </c>
      <c r="N135" s="3707"/>
      <c r="P135" s="3706">
        <f>SUM(P133:P134)</f>
        <v>0</v>
      </c>
      <c r="Q135" s="3707"/>
      <c r="S135" s="3706">
        <f>SUM(S129:S134)</f>
        <v>234450</v>
      </c>
      <c r="T135" s="3707"/>
      <c r="V135" s="2801">
        <f>SUM(V129:V134)</f>
        <v>0</v>
      </c>
      <c r="W135" s="3645"/>
      <c r="X135" s="364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9" t="s">
        <v>260</v>
      </c>
      <c r="K139" s="3690"/>
      <c r="L139" s="337"/>
      <c r="M139" s="3715" t="s">
        <v>468</v>
      </c>
      <c r="N139" s="3716"/>
      <c r="P139" s="3689" t="s">
        <v>261</v>
      </c>
      <c r="Q139" s="3690"/>
      <c r="S139" s="3689" t="s">
        <v>262</v>
      </c>
      <c r="T139" s="3690"/>
      <c r="V139" s="411" t="str">
        <f>B139</f>
        <v>DEVELOPMENT BUDGET  (cont'd)</v>
      </c>
      <c r="AZ139" s="1808"/>
      <c r="BA139" s="1773">
        <v>102</v>
      </c>
    </row>
    <row r="140" spans="1:53" s="289" customFormat="1" ht="18" customHeight="1" thickBot="1">
      <c r="G140" s="3719" t="s">
        <v>94</v>
      </c>
      <c r="H140" s="3720"/>
      <c r="J140" s="3691"/>
      <c r="K140" s="3692"/>
      <c r="L140" s="337"/>
      <c r="M140" s="3717"/>
      <c r="N140" s="3718"/>
      <c r="P140" s="3691"/>
      <c r="Q140" s="3692"/>
      <c r="S140" s="3691"/>
      <c r="T140" s="3692"/>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2"/>
      <c r="H142" s="3553"/>
      <c r="J142" s="3552"/>
      <c r="K142" s="3553"/>
      <c r="L142" s="339"/>
      <c r="M142" s="3552"/>
      <c r="N142" s="3553"/>
      <c r="P142" s="3552"/>
      <c r="Q142" s="3553"/>
      <c r="S142" s="3552"/>
      <c r="T142" s="3553"/>
      <c r="V142" s="2799"/>
      <c r="W142" s="3627"/>
      <c r="X142" s="3628"/>
      <c r="AZ142" s="1808"/>
      <c r="BA142" s="1773">
        <v>137</v>
      </c>
    </row>
    <row r="143" spans="1:53" s="289" customFormat="1" ht="12.6" customHeight="1" thickBot="1">
      <c r="A143" s="363" t="str">
        <f>IF(AND(G143&gt;0,OR(C143="",C143="&lt;Enter detailed description here; use Comments section if needed&gt;")),"X","")</f>
        <v/>
      </c>
      <c r="B143" s="170" t="s">
        <v>6580</v>
      </c>
      <c r="C143" s="3704" t="s">
        <v>3343</v>
      </c>
      <c r="D143" s="3704"/>
      <c r="E143" s="3704"/>
      <c r="F143" s="3705"/>
      <c r="G143" s="3544"/>
      <c r="H143" s="3545"/>
      <c r="J143" s="3544"/>
      <c r="K143" s="3545"/>
      <c r="L143" s="2644"/>
      <c r="M143" s="3544"/>
      <c r="N143" s="3545"/>
      <c r="P143" s="3544"/>
      <c r="Q143" s="3545"/>
      <c r="S143" s="3544"/>
      <c r="T143" s="3545"/>
      <c r="U143" s="362" t="str">
        <f>IF(AND(G143&gt;0,OR(C143="",C143="&lt;Enter detailed description here; use Comments section if needed&gt;")),"NO DESCRIPTION PROVIDED - please enter detailed description in Other box at left; use Comments section below if needed.","")</f>
        <v/>
      </c>
      <c r="V143" s="2799"/>
      <c r="W143" s="3629"/>
      <c r="X143" s="3630"/>
      <c r="AZ143" s="1808"/>
      <c r="BA143" s="1773">
        <v>138</v>
      </c>
    </row>
    <row r="144" spans="1:53" s="289" customFormat="1" ht="12.6" customHeight="1" thickTop="1">
      <c r="C144" s="2620"/>
      <c r="F144" s="338" t="s">
        <v>183</v>
      </c>
      <c r="G144" s="3706">
        <f>SUM(G142:G143)</f>
        <v>0</v>
      </c>
      <c r="H144" s="3707"/>
      <c r="J144" s="3706">
        <f>SUM(J142:J143)</f>
        <v>0</v>
      </c>
      <c r="K144" s="3707"/>
      <c r="L144" s="2644"/>
      <c r="M144" s="3706">
        <f>SUM(M142:M143)</f>
        <v>0</v>
      </c>
      <c r="N144" s="3707"/>
      <c r="P144" s="3706">
        <f>SUM(P142:P143)</f>
        <v>0</v>
      </c>
      <c r="Q144" s="3707"/>
      <c r="S144" s="3706">
        <f>SUM(S142:S143)</f>
        <v>0</v>
      </c>
      <c r="T144" s="3707"/>
      <c r="V144" s="2801">
        <f>SUM(V142:V143)</f>
        <v>0</v>
      </c>
      <c r="W144" s="3645"/>
      <c r="X144" s="3646"/>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6817</v>
      </c>
      <c r="E146" s="753"/>
      <c r="F146" s="1394"/>
      <c r="G146" s="3697">
        <f>G18+G24+G28+G36+G41+G46+G55+G73+G86+G92+G103+G114+G120+G127+G135+G144</f>
        <v>11656720</v>
      </c>
      <c r="H146" s="3698"/>
      <c r="J146" s="3697">
        <f>J18+J24+J28+J36+J41+J46+J55+J73+J86+J92+J103+J114+J120+J127+J135+J144</f>
        <v>10500287</v>
      </c>
      <c r="K146" s="3698"/>
      <c r="M146" s="3697">
        <f>M18+M24+M28+M36+M41+M46+M55+M73+M86+M92+M103+M114+M120+M127+M135+M144</f>
        <v>0</v>
      </c>
      <c r="N146" s="3698"/>
      <c r="P146" s="3697">
        <f>P18+P24+P28+P36+P41+P46+P55+P73+P86+P92+P103+P114+P120+P127+P135+P144</f>
        <v>0</v>
      </c>
      <c r="Q146" s="3698"/>
      <c r="S146" s="3697">
        <f>S18+S24+S28+S36+S41+S46+S55+S73+S86+S92+S103+S114+S120+S127+S135+S144</f>
        <v>1156433</v>
      </c>
      <c r="T146" s="3698"/>
      <c r="V146" s="2824">
        <f>V18+V24+V28+V36+V41+V46+V55+V73+V86+V92+V103+V114+V120+V127+V135+V144</f>
        <v>0</v>
      </c>
      <c r="W146" s="3699"/>
      <c r="X146" s="3646"/>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6">
        <f>IF('Part VI-Revenues &amp; Expenses'!$P$67=0,0,G146/'Part VI-Revenues &amp; Expenses'!$P$67)</f>
        <v>242848.33333333334</v>
      </c>
      <c r="E148" s="3686"/>
      <c r="F148" s="471" t="s">
        <v>2593</v>
      </c>
      <c r="G148" s="3687">
        <f>IF('Part I-Project Information'!$P$70=0,0,G146/'Part I-Project Information'!$P$70)</f>
        <v>215.72137093789325</v>
      </c>
      <c r="H148" s="3688"/>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9" t="s">
        <v>260</v>
      </c>
      <c r="K150" s="3690"/>
      <c r="M150" s="3689" t="s">
        <v>93</v>
      </c>
      <c r="N150" s="3690"/>
      <c r="P150" s="3689" t="s">
        <v>261</v>
      </c>
      <c r="Q150" s="3690"/>
      <c r="V150" s="935"/>
      <c r="W150" s="411" t="str">
        <f>B150</f>
        <v>TAX CREDIT CALCULATION - BASIS METHOD</v>
      </c>
      <c r="AZ150" s="1808"/>
      <c r="BA150" s="1808"/>
    </row>
    <row r="151" spans="1:53" s="289" customFormat="1" ht="15" customHeight="1" thickBot="1">
      <c r="B151" s="294" t="s">
        <v>1952</v>
      </c>
      <c r="D151" s="2644"/>
      <c r="E151" s="2644"/>
      <c r="I151" s="352"/>
      <c r="J151" s="3691"/>
      <c r="K151" s="3692"/>
      <c r="L151" s="772"/>
      <c r="M151" s="3691"/>
      <c r="N151" s="3692"/>
      <c r="P151" s="3691"/>
      <c r="Q151" s="3692"/>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3"/>
      <c r="K153" s="3694"/>
      <c r="P153" s="3693"/>
      <c r="Q153" s="3694"/>
      <c r="V153" s="2799"/>
      <c r="W153" s="3627"/>
      <c r="X153" s="3628"/>
      <c r="AZ153" s="1808"/>
      <c r="BA153" s="1808"/>
    </row>
    <row r="154" spans="1:53" s="289" customFormat="1" ht="14.1" customHeight="1">
      <c r="B154" s="2628" t="s">
        <v>2058</v>
      </c>
      <c r="D154" s="2628"/>
      <c r="E154" s="2628"/>
      <c r="F154" s="2628"/>
      <c r="G154" s="2628"/>
      <c r="H154" s="2628"/>
      <c r="I154" s="352"/>
      <c r="J154" s="3695"/>
      <c r="K154" s="3696"/>
      <c r="P154" s="3695"/>
      <c r="Q154" s="3696"/>
      <c r="V154" s="2799"/>
      <c r="W154" s="3627"/>
      <c r="X154" s="3628"/>
      <c r="AZ154" s="1808"/>
      <c r="BA154" s="1808"/>
    </row>
    <row r="155" spans="1:53" s="289" customFormat="1" ht="14.1" customHeight="1">
      <c r="B155" s="2628" t="s">
        <v>1777</v>
      </c>
      <c r="D155" s="2628"/>
      <c r="E155" s="2628"/>
      <c r="I155" s="352"/>
      <c r="J155" s="3695"/>
      <c r="K155" s="3696"/>
      <c r="P155" s="3695"/>
      <c r="Q155" s="3696"/>
      <c r="V155" s="2799"/>
      <c r="W155" s="3627"/>
      <c r="X155" s="3628"/>
      <c r="AZ155" s="1808"/>
      <c r="BA155" s="1808"/>
    </row>
    <row r="156" spans="1:53" s="289" customFormat="1" ht="14.1" customHeight="1">
      <c r="B156" s="2628" t="s">
        <v>1778</v>
      </c>
      <c r="D156" s="2628"/>
      <c r="E156" s="2628"/>
      <c r="I156" s="352"/>
      <c r="J156" s="3695"/>
      <c r="K156" s="3696"/>
      <c r="P156" s="3695"/>
      <c r="Q156" s="3696"/>
      <c r="V156" s="2799"/>
      <c r="W156" s="3627"/>
      <c r="X156" s="3628"/>
      <c r="AZ156" s="1808"/>
      <c r="BA156" s="1808"/>
    </row>
    <row r="157" spans="1:53" s="289" customFormat="1" ht="14.1" customHeight="1">
      <c r="B157" s="2628" t="s">
        <v>243</v>
      </c>
      <c r="D157" s="2628"/>
      <c r="E157" s="2628"/>
      <c r="I157" s="352"/>
      <c r="J157" s="3695"/>
      <c r="K157" s="3696"/>
      <c r="P157" s="3695"/>
      <c r="Q157" s="3696"/>
      <c r="V157" s="2799"/>
      <c r="W157" s="3627"/>
      <c r="X157" s="3628"/>
      <c r="AZ157" s="1808"/>
      <c r="BA157" s="1808"/>
    </row>
    <row r="158" spans="1:53" s="289" customFormat="1" ht="14.1" customHeight="1" thickBot="1">
      <c r="B158" s="2628" t="s">
        <v>1535</v>
      </c>
      <c r="C158" s="3700" t="s">
        <v>2305</v>
      </c>
      <c r="D158" s="3700"/>
      <c r="E158" s="3700"/>
      <c r="F158" s="3700"/>
      <c r="G158" s="3700"/>
      <c r="H158" s="3700"/>
      <c r="I158" s="3701"/>
      <c r="J158" s="3702"/>
      <c r="K158" s="3703"/>
      <c r="P158" s="3702"/>
      <c r="Q158" s="3703"/>
      <c r="V158" s="2799"/>
      <c r="W158" s="3629"/>
      <c r="X158" s="3630"/>
      <c r="AZ158" s="1808"/>
      <c r="BA158" s="1808"/>
    </row>
    <row r="159" spans="1:53" s="289" customFormat="1" ht="14.1" customHeight="1" thickBot="1">
      <c r="B159" s="299" t="s">
        <v>1779</v>
      </c>
      <c r="C159" s="302"/>
      <c r="J159" s="3491">
        <f>SUM(J153:K158)</f>
        <v>0</v>
      </c>
      <c r="K159" s="3492"/>
      <c r="P159" s="3491">
        <f>SUM(P153:Q158)</f>
        <v>0</v>
      </c>
      <c r="Q159" s="3492"/>
      <c r="V159" s="2801">
        <f>SUM(V153:V158)</f>
        <v>0</v>
      </c>
      <c r="W159" s="3645"/>
      <c r="X159" s="3646"/>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8">
        <f>J146</f>
        <v>10500287</v>
      </c>
      <c r="K162" s="3749"/>
      <c r="M162" s="3750">
        <f>M146</f>
        <v>0</v>
      </c>
      <c r="N162" s="3751"/>
      <c r="P162" s="3748">
        <f>P146</f>
        <v>0</v>
      </c>
      <c r="Q162" s="3749"/>
      <c r="R162" s="3634" t="s">
        <v>3932</v>
      </c>
      <c r="S162" s="3635"/>
      <c r="T162" s="3635"/>
      <c r="V162" s="2799"/>
      <c r="W162" s="3627"/>
      <c r="X162" s="3628"/>
      <c r="AZ162" s="1808"/>
      <c r="BA162" s="1808"/>
    </row>
    <row r="163" spans="1:53" s="289" customFormat="1" ht="14.1" customHeight="1">
      <c r="B163" s="289" t="s">
        <v>2119</v>
      </c>
      <c r="J163" s="3666">
        <f>J159</f>
        <v>0</v>
      </c>
      <c r="K163" s="3674"/>
      <c r="M163" s="3667"/>
      <c r="N163" s="3667"/>
      <c r="P163" s="3666">
        <f>P159</f>
        <v>0</v>
      </c>
      <c r="Q163" s="3674"/>
      <c r="R163" s="3634"/>
      <c r="S163" s="3635"/>
      <c r="T163" s="3635"/>
      <c r="U163" s="1249"/>
      <c r="V163" s="2799"/>
      <c r="W163" s="3627"/>
      <c r="X163" s="3628"/>
      <c r="AZ163" s="1808"/>
      <c r="BA163" s="1808"/>
    </row>
    <row r="164" spans="1:53" s="289" customFormat="1" ht="14.1" customHeight="1">
      <c r="B164" s="289" t="s">
        <v>2120</v>
      </c>
      <c r="J164" s="3666">
        <f>J162-J163</f>
        <v>10500287</v>
      </c>
      <c r="K164" s="3674"/>
      <c r="M164" s="3666">
        <f>M162</f>
        <v>0</v>
      </c>
      <c r="N164" s="3674"/>
      <c r="P164" s="3666">
        <f>P162-P163</f>
        <v>0</v>
      </c>
      <c r="Q164" s="3674"/>
      <c r="R164" s="3634"/>
      <c r="S164" s="3635"/>
      <c r="T164" s="3635"/>
      <c r="U164" s="1249"/>
      <c r="V164" s="2799"/>
      <c r="W164" s="3627"/>
      <c r="X164" s="3628"/>
      <c r="AZ164" s="1808"/>
      <c r="BA164" s="1808"/>
    </row>
    <row r="165" spans="1:53" s="289" customFormat="1" ht="14.1" customHeight="1">
      <c r="B165" s="289" t="s">
        <v>1426</v>
      </c>
      <c r="G165" s="2623" t="s">
        <v>1637</v>
      </c>
      <c r="H165" s="3362" t="s">
        <v>1691</v>
      </c>
      <c r="I165" s="3363"/>
      <c r="J165" s="3679">
        <v>1</v>
      </c>
      <c r="K165" s="3680"/>
      <c r="M165" s="3681"/>
      <c r="N165" s="3681"/>
      <c r="P165" s="3679"/>
      <c r="Q165" s="3680"/>
      <c r="R165" s="3636" t="s">
        <v>3334</v>
      </c>
      <c r="S165" s="3637"/>
      <c r="T165" s="3638"/>
      <c r="U165" s="1250"/>
      <c r="V165" s="2799"/>
      <c r="W165" s="3627"/>
      <c r="X165" s="3628"/>
      <c r="AZ165" s="1808"/>
      <c r="BA165" s="1808"/>
    </row>
    <row r="166" spans="1:53" s="289" customFormat="1" ht="14.1" customHeight="1">
      <c r="B166" s="289" t="s">
        <v>1962</v>
      </c>
      <c r="J166" s="3666">
        <f>J164*J165</f>
        <v>10500287</v>
      </c>
      <c r="K166" s="3674"/>
      <c r="M166" s="3666">
        <f>+M164</f>
        <v>0</v>
      </c>
      <c r="N166" s="3674"/>
      <c r="P166" s="3666">
        <f>P164*P165</f>
        <v>0</v>
      </c>
      <c r="Q166" s="3674"/>
      <c r="R166" s="3639"/>
      <c r="S166" s="3640"/>
      <c r="T166" s="3641"/>
      <c r="U166" s="1250"/>
      <c r="V166" s="2799"/>
      <c r="W166" s="3627"/>
      <c r="X166" s="3628"/>
      <c r="AZ166" s="1808"/>
      <c r="BA166" s="1808"/>
    </row>
    <row r="167" spans="1:53" s="289" customFormat="1" ht="14.1" customHeight="1">
      <c r="B167" s="289" t="s">
        <v>2423</v>
      </c>
      <c r="J167" s="3682">
        <f>MIN('Part VI-Revenues &amp; Expenses'!$P$63/'Part VI-Revenues &amp; Expenses'!$P$65,'Part VI-Revenues &amp; Expenses'!$P$164/'Part VI-Revenues &amp; Expenses'!$P$166)</f>
        <v>1</v>
      </c>
      <c r="K167" s="3683"/>
      <c r="M167" s="3682">
        <f>MIN('Part VI-Revenues &amp; Expenses'!$P$63/'Part VI-Revenues &amp; Expenses'!$P$65,'Part VI-Revenues &amp; Expenses'!$P$164/'Part VI-Revenues &amp; Expenses'!$P$166)</f>
        <v>1</v>
      </c>
      <c r="N167" s="3683"/>
      <c r="P167" s="3682">
        <f>MIN('Part VI-Revenues &amp; Expenses'!$P$63/'Part VI-Revenues &amp; Expenses'!$P$65,'Part VI-Revenues &amp; Expenses'!$P$164/'Part VI-Revenues &amp; Expenses'!$P$166)</f>
        <v>1</v>
      </c>
      <c r="Q167" s="3683"/>
      <c r="R167" s="3642"/>
      <c r="S167" s="3643"/>
      <c r="T167" s="3644"/>
      <c r="V167" s="2799"/>
      <c r="W167" s="3627"/>
      <c r="X167" s="3628"/>
      <c r="AZ167" s="1808"/>
      <c r="BA167" s="1808"/>
    </row>
    <row r="168" spans="1:53" s="289" customFormat="1" ht="14.1" customHeight="1">
      <c r="B168" s="289" t="s">
        <v>1953</v>
      </c>
      <c r="J168" s="3666">
        <f>J166*J167</f>
        <v>10500287</v>
      </c>
      <c r="K168" s="3674"/>
      <c r="M168" s="3666">
        <f>M166*M167</f>
        <v>0</v>
      </c>
      <c r="N168" s="3674"/>
      <c r="P168" s="3666">
        <f>P166*P167</f>
        <v>0</v>
      </c>
      <c r="Q168" s="3674"/>
      <c r="V168" s="2799"/>
      <c r="W168" s="3627"/>
      <c r="X168" s="3628"/>
      <c r="AZ168" s="1808"/>
      <c r="BA168" s="1808"/>
    </row>
    <row r="169" spans="1:53" s="289" customFormat="1" ht="14.1" customHeight="1">
      <c r="B169" s="289" t="s">
        <v>1954</v>
      </c>
      <c r="J169" s="3679">
        <v>0.09</v>
      </c>
      <c r="K169" s="3680"/>
      <c r="M169" s="3679"/>
      <c r="N169" s="3680"/>
      <c r="P169" s="3679"/>
      <c r="Q169" s="3680"/>
      <c r="V169" s="2799"/>
      <c r="W169" s="3627"/>
      <c r="X169" s="3628"/>
      <c r="AZ169" s="1808"/>
      <c r="BA169" s="1808"/>
    </row>
    <row r="170" spans="1:53" s="289" customFormat="1" ht="14.1" customHeight="1" thickBot="1">
      <c r="B170" s="289" t="s">
        <v>2424</v>
      </c>
      <c r="J170" s="3684">
        <f>J168*J169</f>
        <v>945025.83</v>
      </c>
      <c r="K170" s="3685"/>
      <c r="M170" s="3684">
        <f>M168*M169</f>
        <v>0</v>
      </c>
      <c r="N170" s="3685"/>
      <c r="P170" s="3684">
        <f>P168*P169</f>
        <v>0</v>
      </c>
      <c r="Q170" s="3685"/>
      <c r="V170" s="2825"/>
      <c r="W170" s="3629"/>
      <c r="X170" s="3630"/>
      <c r="AZ170" s="1808"/>
      <c r="BA170" s="1808"/>
    </row>
    <row r="171" spans="1:53" s="289" customFormat="1" ht="14.1" customHeight="1" thickBot="1">
      <c r="B171" s="291" t="s">
        <v>1373</v>
      </c>
      <c r="J171" s="3491">
        <f>ROUNDDOWN(J170+M170+P170,0)</f>
        <v>945025</v>
      </c>
      <c r="K171" s="3659"/>
      <c r="L171" s="3659"/>
      <c r="M171" s="3659"/>
      <c r="N171" s="3659"/>
      <c r="O171" s="3659"/>
      <c r="P171" s="3659"/>
      <c r="Q171" s="3492"/>
      <c r="V171" s="2801"/>
      <c r="W171" s="3631"/>
      <c r="X171" s="363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766"/>
      <c r="P174" s="3766"/>
      <c r="Q174" s="3766"/>
      <c r="R174" s="3766"/>
      <c r="S174" s="3766"/>
      <c r="T174" s="3766"/>
      <c r="U174" s="3766"/>
      <c r="V174" s="3766"/>
      <c r="AZ174" s="1808"/>
      <c r="BA174" s="1808"/>
    </row>
    <row r="175" spans="1:53" s="166" customFormat="1" ht="14.1" customHeight="1">
      <c r="B175" s="2802" t="s">
        <v>4128</v>
      </c>
      <c r="H175" s="2826"/>
      <c r="I175" s="2826"/>
      <c r="M175" s="509"/>
      <c r="O175" s="2827"/>
      <c r="P175" s="2827"/>
      <c r="Q175" s="2827"/>
      <c r="R175" s="2827"/>
      <c r="S175" s="2827"/>
      <c r="T175" s="2827"/>
      <c r="U175" s="2827"/>
      <c r="V175" s="2827"/>
      <c r="AZ175" s="1808"/>
      <c r="BA175" s="1808"/>
    </row>
    <row r="176" spans="1:53" s="166" customFormat="1" ht="15" customHeight="1">
      <c r="B176" s="166" t="s">
        <v>4130</v>
      </c>
      <c r="J176" s="3767">
        <f>G146</f>
        <v>11656720</v>
      </c>
      <c r="K176" s="3768"/>
      <c r="L176" s="3769"/>
      <c r="V176" s="2828"/>
      <c r="W176" s="2829"/>
      <c r="AZ176" s="1808"/>
      <c r="BA176" s="1808"/>
    </row>
    <row r="177" spans="1:53" s="166" customFormat="1" ht="13.5" customHeight="1">
      <c r="B177" s="166" t="s">
        <v>4132</v>
      </c>
      <c r="J177" s="3767">
        <f>'Part IV-A-Uses of Funds'!$G$92+'Part IV-A-Uses of Funds'!$G$114+SUM('Part IV-A-Uses of Funds'!$G$130:$H$132)</f>
        <v>447167</v>
      </c>
      <c r="K177" s="3768"/>
      <c r="L177" s="3769"/>
      <c r="V177" s="2828"/>
      <c r="W177" s="2829"/>
      <c r="AZ177" s="1808"/>
      <c r="BA177" s="1808"/>
    </row>
    <row r="178" spans="1:53" s="166" customFormat="1" ht="13.5" customHeight="1">
      <c r="B178" s="2729" t="s">
        <v>4131</v>
      </c>
      <c r="J178" s="3767">
        <f>J176-J177</f>
        <v>11209553</v>
      </c>
      <c r="K178" s="3768"/>
      <c r="L178" s="3769"/>
      <c r="M178" s="3626" t="str">
        <f>IF(J178&lt;=J179, "","Exceeds Project Cost Limit!   Needs Cost Limit waiver.")</f>
        <v/>
      </c>
      <c r="N178" s="3626"/>
      <c r="O178" s="3626"/>
      <c r="P178" s="3626"/>
      <c r="Q178" s="3626"/>
      <c r="R178" s="3626"/>
      <c r="S178" s="3626"/>
      <c r="T178" s="3626"/>
      <c r="V178" s="2828"/>
      <c r="W178" s="2829"/>
      <c r="AZ178" s="1808"/>
      <c r="BA178" s="1808"/>
    </row>
    <row r="179" spans="1:53" s="166" customFormat="1" ht="13.5" customHeight="1">
      <c r="B179" s="2830" t="s">
        <v>2597</v>
      </c>
      <c r="C179" s="2729"/>
      <c r="D179" s="2729"/>
      <c r="J179" s="3767">
        <f>'Part VIII-Threshold Criteria'!$P$63</f>
        <v>11215938</v>
      </c>
      <c r="K179" s="3768"/>
      <c r="L179" s="3769"/>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4133</v>
      </c>
      <c r="J182" s="3663">
        <f>MIN(J176,J179+J177)</f>
        <v>11656720</v>
      </c>
      <c r="K182" s="3664"/>
      <c r="L182" s="3665"/>
      <c r="M182" s="3647" t="s">
        <v>4144</v>
      </c>
      <c r="N182" s="3648"/>
      <c r="O182" s="3648"/>
      <c r="P182" s="3648"/>
      <c r="Q182" s="3648"/>
      <c r="R182" s="3649"/>
      <c r="S182" s="3647" t="s">
        <v>3314</v>
      </c>
      <c r="T182" s="3649"/>
      <c r="V182" s="2799"/>
      <c r="W182" s="3627"/>
      <c r="X182" s="3628"/>
      <c r="AZ182" s="1808"/>
      <c r="BA182" s="1808"/>
    </row>
    <row r="183" spans="1:53" s="289" customFormat="1" ht="14.1" customHeight="1">
      <c r="B183" s="289" t="s">
        <v>252</v>
      </c>
      <c r="J183" s="3666">
        <f>'Part III-Sources of Funds'!$I$60-'Part III-Sources of Funds'!$I$44-'Part III-Sources of Funds'!$I$45-'Part III-Sources of Funds'!$I$51-'Part III-Sources of Funds'!$I$52</f>
        <v>480110</v>
      </c>
      <c r="K183" s="3667"/>
      <c r="L183" s="3668"/>
      <c r="M183" s="3650"/>
      <c r="N183" s="3651"/>
      <c r="O183" s="3651"/>
      <c r="P183" s="3651"/>
      <c r="Q183" s="3651"/>
      <c r="R183" s="3652"/>
      <c r="S183" s="3650"/>
      <c r="T183" s="3652"/>
      <c r="V183" s="2799"/>
      <c r="W183" s="3627"/>
      <c r="X183" s="3628"/>
      <c r="AZ183" s="1808"/>
      <c r="BA183" s="1808"/>
    </row>
    <row r="184" spans="1:53" s="289" customFormat="1" ht="14.1" customHeight="1">
      <c r="B184" s="289" t="s">
        <v>2131</v>
      </c>
      <c r="J184" s="3666">
        <f>+J182-J183</f>
        <v>11176610</v>
      </c>
      <c r="K184" s="3667"/>
      <c r="L184" s="3668"/>
      <c r="M184" s="3650"/>
      <c r="N184" s="3651"/>
      <c r="O184" s="3651"/>
      <c r="P184" s="3651"/>
      <c r="Q184" s="3651"/>
      <c r="R184" s="3652"/>
      <c r="S184" s="3650"/>
      <c r="T184" s="3652"/>
      <c r="V184" s="2799"/>
      <c r="W184" s="3627"/>
      <c r="X184" s="3628"/>
      <c r="AZ184" s="1808"/>
      <c r="BA184" s="1808"/>
    </row>
    <row r="185" spans="1:53" s="289" customFormat="1" ht="14.1" customHeight="1" thickBot="1">
      <c r="B185" s="289" t="s">
        <v>1238</v>
      </c>
      <c r="J185" s="3673" t="str">
        <f>"/ 10"</f>
        <v>/ 10</v>
      </c>
      <c r="K185" s="3673"/>
      <c r="L185" s="3673"/>
      <c r="M185" s="3669" t="s">
        <v>2581</v>
      </c>
      <c r="N185" s="3670"/>
      <c r="O185" s="3671">
        <f>'Part III-Sources of Funds'!$I$44</f>
        <v>0</v>
      </c>
      <c r="P185" s="3671"/>
      <c r="Q185" s="3671"/>
      <c r="R185" s="3672"/>
      <c r="S185" s="398" t="s">
        <v>1589</v>
      </c>
      <c r="T185" s="2832"/>
      <c r="V185" s="2799"/>
      <c r="W185" s="3627"/>
      <c r="X185" s="3628"/>
      <c r="AZ185" s="1808"/>
      <c r="BA185" s="1808"/>
    </row>
    <row r="186" spans="1:53" s="289" customFormat="1" ht="14.1" customHeight="1">
      <c r="B186" s="289" t="s">
        <v>1239</v>
      </c>
      <c r="J186" s="3666">
        <f>J184/10</f>
        <v>1117661</v>
      </c>
      <c r="K186" s="3667"/>
      <c r="L186" s="3674"/>
      <c r="M186" s="2628"/>
      <c r="N186" s="448"/>
      <c r="O186" s="448"/>
      <c r="P186" s="448"/>
      <c r="Q186" s="448"/>
      <c r="R186" s="448"/>
      <c r="V186" s="935"/>
      <c r="W186" s="3627"/>
      <c r="X186" s="3628"/>
      <c r="AZ186" s="1808"/>
      <c r="BA186" s="1808"/>
    </row>
    <row r="187" spans="1:53" s="289" customFormat="1" ht="14.1" customHeight="1">
      <c r="M187" s="307"/>
      <c r="N187" s="3338" t="s">
        <v>1240</v>
      </c>
      <c r="O187" s="3338"/>
      <c r="Q187" s="3338" t="s">
        <v>1717</v>
      </c>
      <c r="R187" s="3338"/>
      <c r="V187" s="2799"/>
      <c r="W187" s="3627"/>
      <c r="X187" s="3628"/>
      <c r="AZ187" s="1808"/>
      <c r="BA187" s="1808"/>
    </row>
    <row r="188" spans="1:53" s="289" customFormat="1" ht="14.1" customHeight="1" thickBot="1">
      <c r="B188" s="289" t="s">
        <v>1425</v>
      </c>
      <c r="J188" s="3654">
        <f>N188+Q188</f>
        <v>1.24</v>
      </c>
      <c r="K188" s="3655"/>
      <c r="L188" s="3656"/>
      <c r="M188" s="2623" t="s">
        <v>1241</v>
      </c>
      <c r="N188" s="3657">
        <v>0.85</v>
      </c>
      <c r="O188" s="3658"/>
      <c r="P188" s="2623" t="s">
        <v>583</v>
      </c>
      <c r="Q188" s="3657">
        <v>0.39</v>
      </c>
      <c r="R188" s="3658"/>
      <c r="V188" s="2799"/>
      <c r="W188" s="3627"/>
      <c r="X188" s="3628"/>
      <c r="AZ188" s="1808"/>
      <c r="BA188" s="1808"/>
    </row>
    <row r="189" spans="1:53" s="289" customFormat="1" ht="14.1" customHeight="1" thickBot="1">
      <c r="B189" s="291" t="s">
        <v>1374</v>
      </c>
      <c r="J189" s="3491">
        <f>ROUNDDOWN(IF(J188=0,"",J186/J188),0)</f>
        <v>901339</v>
      </c>
      <c r="K189" s="3659"/>
      <c r="L189" s="3492"/>
      <c r="M189" s="307"/>
      <c r="N189" s="2628"/>
      <c r="O189" s="2628"/>
      <c r="V189" s="2799"/>
      <c r="W189" s="3627"/>
      <c r="X189" s="3628"/>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4129</v>
      </c>
      <c r="H191" s="345"/>
      <c r="I191" s="345"/>
      <c r="L191" s="2628"/>
      <c r="M191" s="450"/>
      <c r="N191" s="2628"/>
      <c r="O191" s="2628"/>
      <c r="P191" s="2628"/>
      <c r="Q191" s="1728" t="s">
        <v>6539</v>
      </c>
      <c r="R191" s="170"/>
      <c r="S191" s="3762" t="str">
        <f>'Part I-Project Information'!$H$105</f>
        <v>Rural</v>
      </c>
      <c r="T191" s="3763"/>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660">
        <v>900000</v>
      </c>
      <c r="K193" s="3661"/>
      <c r="L193" s="3662"/>
      <c r="M193" s="307"/>
      <c r="Q193" s="279" t="s">
        <v>367</v>
      </c>
      <c r="R193" s="465"/>
      <c r="S193" s="3760" t="str">
        <f>'Part IX Scoring Criteria'!$M$43</f>
        <v>New Supply</v>
      </c>
      <c r="T193" s="3761"/>
      <c r="U193" s="1704" t="str">
        <f>IF(OR(S191="Atlanta Metro", "Other Metro"), "Metro", IF(S191="Rural","Rural",""))</f>
        <v>Rural</v>
      </c>
      <c r="V193" s="2799"/>
      <c r="W193" s="3627"/>
      <c r="X193" s="3628"/>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4282</v>
      </c>
      <c r="J195" s="3660">
        <v>900000</v>
      </c>
      <c r="K195" s="3661"/>
      <c r="L195" s="3662"/>
      <c r="M195" s="3759" t="str">
        <f>IF(J193=0,"",IF(J195&gt;J193,"Request can't exceed Maximum - REVISE (Try Round Down)!",""))</f>
        <v/>
      </c>
      <c r="N195" s="3759"/>
      <c r="O195" s="3759"/>
      <c r="P195" s="3759"/>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27"/>
      <c r="X195" s="3628"/>
      <c r="AZ195" s="1809"/>
      <c r="BA195" s="1808"/>
    </row>
    <row r="196" spans="1:53" s="289" customFormat="1" ht="3" customHeight="1">
      <c r="J196" s="355"/>
      <c r="K196" s="355"/>
      <c r="L196" s="355"/>
      <c r="M196" s="3759"/>
      <c r="N196" s="3759"/>
      <c r="O196" s="3759"/>
      <c r="P196" s="3759"/>
      <c r="Q196" s="170"/>
      <c r="R196" s="465"/>
      <c r="S196" s="2638"/>
      <c r="T196" s="2638"/>
      <c r="V196" s="935"/>
      <c r="W196" s="2822"/>
      <c r="X196" s="2823"/>
      <c r="AZ196" s="1809"/>
      <c r="BA196" s="1808"/>
    </row>
    <row r="197" spans="1:53" s="289" customFormat="1" ht="16.350000000000001" customHeight="1">
      <c r="A197" s="411"/>
      <c r="B197" s="411" t="s">
        <v>4283</v>
      </c>
      <c r="D197" s="307"/>
      <c r="E197" s="307"/>
      <c r="F197" s="2621"/>
      <c r="J197" s="3675">
        <f>IF(J195="",0,+MIN(J193,J195))</f>
        <v>900000</v>
      </c>
      <c r="K197" s="3676"/>
      <c r="L197" s="3677"/>
      <c r="M197" s="3759"/>
      <c r="N197" s="3759"/>
      <c r="O197" s="3759"/>
      <c r="P197" s="3759"/>
      <c r="Q197" s="3764" t="s">
        <v>6540</v>
      </c>
      <c r="R197" s="3765"/>
      <c r="S197" s="1731" t="str">
        <f>IF('Part I-Project Information'!$P$101="","",IF('Part I-Project Information'!$P$101="Yes","Yes","No"))</f>
        <v>No</v>
      </c>
      <c r="T197" s="1266"/>
      <c r="V197" s="2799"/>
      <c r="W197" s="3627"/>
      <c r="X197" s="3628"/>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1" t="s">
        <v>6992</v>
      </c>
      <c r="B201" s="3471"/>
      <c r="C201" s="3471"/>
      <c r="D201" s="3471"/>
      <c r="E201" s="3471"/>
      <c r="F201" s="3471"/>
      <c r="G201" s="3471"/>
      <c r="H201" s="3471"/>
      <c r="I201" s="3471"/>
      <c r="J201" s="3471"/>
      <c r="K201" s="3471"/>
      <c r="L201" s="3471"/>
      <c r="M201" s="3471"/>
      <c r="N201" s="3678"/>
      <c r="O201" s="3678"/>
      <c r="P201" s="3678"/>
      <c r="Q201" s="3678"/>
      <c r="R201" s="3678"/>
      <c r="S201" s="3678"/>
      <c r="T201" s="3678"/>
      <c r="V201" s="842"/>
      <c r="W201" s="3469" t="s">
        <v>2542</v>
      </c>
      <c r="X201" s="346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t3fH+BVj8yFbAKRB4vtHGtsyiCGg/e3boxGq+HGwavF2OcA2153nZcK3PX44KsHAPOlPhDrypjWcZMlC2Z7SRg==" saltValue="ZNqVFoz1I5cS3g6hviaiiA=="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70" priority="10" stopIfTrue="1" operator="greaterThan">
      <formula>$J$193</formula>
    </cfRule>
  </conditionalFormatting>
  <conditionalFormatting sqref="J38:K38 M38:N38 P38:Q38">
    <cfRule type="cellIs" dxfId="69" priority="9" operator="greaterThan">
      <formula>$G$38</formula>
    </cfRule>
  </conditionalFormatting>
  <conditionalFormatting sqref="J39:K40 M39:N40 P39:Q40">
    <cfRule type="cellIs" dxfId="68" priority="8" operator="greaterThan">
      <formula>$G$40</formula>
    </cfRule>
  </conditionalFormatting>
  <conditionalFormatting sqref="G40">
    <cfRule type="cellIs" dxfId="67" priority="14" operator="greaterThan">
      <formula>$E$40</formula>
    </cfRule>
  </conditionalFormatting>
  <conditionalFormatting sqref="M178:T178">
    <cfRule type="cellIs" dxfId="66" priority="3" operator="equal">
      <formula>"Exceeds Project Cost Limit!   Needs Cost Limit waiver."</formula>
    </cfRule>
    <cfRule type="cellIs" dxfId="65" priority="7" operator="equal">
      <formula>"QAP Cost Limit TDC exceeds Project Cost Limit!"</formula>
    </cfRule>
  </conditionalFormatting>
  <conditionalFormatting sqref="O174:V175">
    <cfRule type="cellIs" dxfId="64" priority="6" operator="equal">
      <formula>"QAP Cost Limit TDC exceeds Project Cost Limit!"</formula>
    </cfRule>
  </conditionalFormatting>
  <conditionalFormatting sqref="O192">
    <cfRule type="cellIs" dxfId="63" priority="4" operator="equal">
      <formula>"QAP Cost Limit TDC exceeds Project Cost Limit!"</formula>
    </cfRule>
  </conditionalFormatting>
  <conditionalFormatting sqref="G55:H55">
    <cfRule type="cellIs" dxfId="62"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0" zoomScaleNormal="100" workbookViewId="0">
      <selection activeCell="A70"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5" t="str">
        <f>CONCATENATE("PART FOUR (B) -  OTHER COSTS","  -  ",'Part I-Project Information'!$O$7," - ",'Part I-Project Information'!$F$35,"  -  ",'Part I-Project Information'!$F$39,"  -  ",'Part I-Project Information'!$J$40,",  ","County")</f>
        <v>PART FOUR (B) -  OTHER COSTS  -  2021-014 - Dunbar Court  -  Byron  -  Peach,  County</v>
      </c>
      <c r="B1" s="3786"/>
      <c r="C1" s="3786"/>
      <c r="D1" s="3786"/>
      <c r="E1" s="3786"/>
      <c r="F1" s="3786"/>
      <c r="G1" s="3786"/>
      <c r="H1" s="3786"/>
      <c r="I1" s="819"/>
      <c r="J1" s="819"/>
      <c r="K1" s="819"/>
      <c r="L1" s="819"/>
      <c r="M1" s="819"/>
      <c r="N1" s="819"/>
    </row>
    <row r="2" spans="1:14" ht="9" customHeight="1"/>
    <row r="3" spans="1:14" ht="57" customHeight="1">
      <c r="A3" s="3787" t="s">
        <v>3345</v>
      </c>
      <c r="B3" s="3788"/>
      <c r="C3" s="3788"/>
      <c r="D3" s="3788"/>
      <c r="E3" s="3788"/>
      <c r="F3" s="3788"/>
      <c r="G3" s="3788"/>
      <c r="H3" s="3789"/>
    </row>
    <row r="4" spans="1:14" ht="6" customHeight="1"/>
    <row r="5" spans="1:14" ht="38.25" customHeight="1">
      <c r="A5" s="3790" t="s">
        <v>3412</v>
      </c>
      <c r="B5" s="3790"/>
      <c r="C5" s="3790"/>
      <c r="D5" s="3790"/>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2" t="str">
        <f>'Part IV-A-Uses of Funds'!$C$15</f>
        <v>&lt;&lt; Enter description here; provide detail &amp; justification in tab Part IV-b &gt;&gt;</v>
      </c>
      <c r="B9" s="3783"/>
      <c r="C9" s="3783"/>
      <c r="D9" s="3784"/>
      <c r="F9" s="3779"/>
      <c r="G9" s="822"/>
      <c r="H9" s="3779"/>
    </row>
    <row r="10" spans="1:14" s="2836" customFormat="1" ht="41.25" customHeight="1">
      <c r="A10" s="3773"/>
      <c r="B10" s="3774"/>
      <c r="C10" s="3774"/>
      <c r="D10" s="3775"/>
      <c r="F10" s="3780"/>
      <c r="G10" s="822"/>
      <c r="H10" s="3780"/>
    </row>
    <row r="11" spans="1:14" s="2836" customFormat="1" ht="4.5" customHeight="1">
      <c r="F11" s="3780"/>
      <c r="G11" s="822"/>
      <c r="H11" s="3780"/>
    </row>
    <row r="12" spans="1:14" s="2836" customFormat="1" ht="15" customHeight="1">
      <c r="A12" s="829" t="s">
        <v>3339</v>
      </c>
      <c r="B12" s="828">
        <f>'Part IV-A-Uses of Funds'!$G$15</f>
        <v>0</v>
      </c>
      <c r="C12" s="829" t="s">
        <v>1710</v>
      </c>
      <c r="D12" s="828">
        <f>'Part IV-A-Uses of Funds'!$J$15+'Part IV-A-Uses of Funds'!$M$15+'Part IV-A-Uses of Funds'!$P$15</f>
        <v>0</v>
      </c>
      <c r="F12" s="3780"/>
      <c r="G12" s="822"/>
      <c r="H12" s="3780"/>
    </row>
    <row r="13" spans="1:14" s="2836" customFormat="1" ht="6" customHeight="1">
      <c r="A13" s="822"/>
      <c r="B13" s="823"/>
      <c r="C13" s="822"/>
      <c r="D13" s="822"/>
      <c r="F13" s="3780"/>
      <c r="G13" s="824"/>
      <c r="H13" s="3780"/>
    </row>
    <row r="14" spans="1:14" s="2836" customFormat="1" ht="41.25" customHeight="1">
      <c r="A14" s="3782" t="str">
        <f>'Part IV-A-Uses of Funds'!$C$16</f>
        <v>&lt;&lt; Enter description here; provide detail &amp; justification in tab Part IV-b &gt;&gt;</v>
      </c>
      <c r="B14" s="3783"/>
      <c r="C14" s="3783"/>
      <c r="D14" s="3784"/>
      <c r="F14" s="3780"/>
      <c r="G14" s="822"/>
      <c r="H14" s="3780"/>
    </row>
    <row r="15" spans="1:14" s="2836" customFormat="1" ht="41.25" customHeight="1">
      <c r="A15" s="3773"/>
      <c r="B15" s="3774"/>
      <c r="C15" s="3774"/>
      <c r="D15" s="3775"/>
      <c r="F15" s="3780"/>
      <c r="G15" s="822"/>
      <c r="H15" s="3780"/>
    </row>
    <row r="16" spans="1:14" s="2836" customFormat="1" ht="4.5" customHeight="1">
      <c r="F16" s="3780"/>
      <c r="G16" s="822"/>
      <c r="H16" s="3780"/>
    </row>
    <row r="17" spans="1:8" s="2836" customFormat="1" ht="15" customHeight="1">
      <c r="A17" s="829" t="s">
        <v>3339</v>
      </c>
      <c r="B17" s="828">
        <f>'Part IV-A-Uses of Funds'!$G$16</f>
        <v>0</v>
      </c>
      <c r="C17" s="829" t="s">
        <v>1710</v>
      </c>
      <c r="D17" s="828">
        <f>'Part IV-A-Uses of Funds'!$J$16+'Part IV-A-Uses of Funds'!$M$16+'Part IV-A-Uses of Funds'!$P$16</f>
        <v>0</v>
      </c>
      <c r="F17" s="3780"/>
      <c r="G17" s="822"/>
      <c r="H17" s="3780"/>
    </row>
    <row r="18" spans="1:8" s="2836" customFormat="1" ht="6" customHeight="1">
      <c r="A18" s="822"/>
      <c r="B18" s="823"/>
      <c r="C18" s="822"/>
      <c r="D18" s="822"/>
      <c r="F18" s="3780"/>
      <c r="G18" s="824"/>
      <c r="H18" s="3780"/>
    </row>
    <row r="19" spans="1:8" s="2836" customFormat="1" ht="41.25" customHeight="1">
      <c r="A19" s="3782" t="str">
        <f>'Part IV-A-Uses of Funds'!$C$17</f>
        <v>&lt;&lt; Enter description here; provide detail &amp; justification in tab Part IV-b &gt;&gt;</v>
      </c>
      <c r="B19" s="3783"/>
      <c r="C19" s="3783"/>
      <c r="D19" s="3784"/>
      <c r="F19" s="3780"/>
      <c r="G19" s="822"/>
      <c r="H19" s="3780"/>
    </row>
    <row r="20" spans="1:8" s="2836" customFormat="1" ht="41.25" customHeight="1">
      <c r="A20" s="3773"/>
      <c r="B20" s="3774"/>
      <c r="C20" s="3774"/>
      <c r="D20" s="3775"/>
      <c r="F20" s="3780"/>
      <c r="G20" s="822"/>
      <c r="H20" s="3780"/>
    </row>
    <row r="21" spans="1:8" s="2836" customFormat="1" ht="4.5" customHeight="1">
      <c r="F21" s="3780"/>
      <c r="G21" s="822"/>
      <c r="H21" s="3780"/>
    </row>
    <row r="22" spans="1:8" s="2836" customFormat="1" ht="15" customHeight="1">
      <c r="A22" s="829" t="s">
        <v>3339</v>
      </c>
      <c r="B22" s="828">
        <f>'Part IV-A-Uses of Funds'!$G$17</f>
        <v>0</v>
      </c>
      <c r="C22" s="829" t="s">
        <v>1710</v>
      </c>
      <c r="D22" s="828">
        <f>'Part IV-A-Uses of Funds'!$J$17+'Part IV-A-Uses of Funds'!$M$17+'Part IV-A-Uses of Funds'!$P$17</f>
        <v>0</v>
      </c>
      <c r="F22" s="3780"/>
      <c r="G22" s="822"/>
      <c r="H22" s="3780"/>
    </row>
    <row r="23" spans="1:8" s="2836" customFormat="1" ht="6" customHeight="1">
      <c r="A23" s="822"/>
      <c r="B23" s="823"/>
      <c r="C23" s="822"/>
      <c r="D23" s="822"/>
      <c r="F23" s="3781"/>
      <c r="G23" s="824"/>
      <c r="H23" s="3781"/>
    </row>
    <row r="24" spans="1:8" s="2836" customFormat="1">
      <c r="A24" s="830" t="s">
        <v>3338</v>
      </c>
      <c r="B24" s="822"/>
      <c r="C24" s="822"/>
      <c r="D24" s="822"/>
      <c r="E24" s="822"/>
      <c r="F24" s="822"/>
      <c r="G24" s="822"/>
    </row>
    <row r="25" spans="1:8" s="2836" customFormat="1" ht="41.25" customHeight="1">
      <c r="A25" s="3782" t="str">
        <f>'Part IV-A-Uses of Funds'!$C$46</f>
        <v>&lt;&lt; Enter description here; provide detail &amp; justification in tab Part IV-b &gt;&gt;</v>
      </c>
      <c r="B25" s="3783"/>
      <c r="C25" s="3783"/>
      <c r="D25" s="3784"/>
      <c r="E25" s="822"/>
      <c r="F25" s="3776"/>
      <c r="G25" s="822"/>
      <c r="H25" s="3776"/>
    </row>
    <row r="26" spans="1:8" s="2836" customFormat="1" ht="41.25" customHeight="1">
      <c r="A26" s="3773"/>
      <c r="B26" s="3774"/>
      <c r="C26" s="3774"/>
      <c r="D26" s="3775"/>
      <c r="E26" s="822"/>
      <c r="F26" s="3777"/>
      <c r="G26" s="822"/>
      <c r="H26" s="3777"/>
    </row>
    <row r="27" spans="1:8" s="2836" customFormat="1" ht="4.5" customHeight="1">
      <c r="A27" s="822"/>
      <c r="B27" s="822"/>
      <c r="C27" s="822"/>
      <c r="D27" s="822"/>
      <c r="E27" s="822"/>
      <c r="F27" s="3777"/>
      <c r="G27" s="822"/>
      <c r="H27" s="3777"/>
    </row>
    <row r="28" spans="1:8" s="2836" customFormat="1" ht="25.5">
      <c r="A28" s="829" t="s">
        <v>3339</v>
      </c>
      <c r="B28" s="828">
        <f>'Part IV-A-Uses of Funds'!$G$46</f>
        <v>0</v>
      </c>
      <c r="C28" s="829" t="s">
        <v>1710</v>
      </c>
      <c r="D28" s="828">
        <f>'Part IV-A-Uses of Funds'!$J$46+'Part IV-A-Uses of Funds'!$M$46+'Part IV-A-Uses of Funds'!$P$46</f>
        <v>0</v>
      </c>
      <c r="E28" s="822"/>
      <c r="F28" s="3777"/>
      <c r="G28" s="822"/>
      <c r="H28" s="3777"/>
    </row>
    <row r="29" spans="1:8" s="2836" customFormat="1" ht="6" customHeight="1">
      <c r="A29" s="822"/>
      <c r="B29" s="823"/>
      <c r="C29" s="822"/>
      <c r="D29" s="822"/>
      <c r="E29" s="822"/>
      <c r="F29" s="3778"/>
      <c r="G29" s="824"/>
      <c r="H29" s="3778"/>
    </row>
    <row r="30" spans="1:8" s="2836" customFormat="1">
      <c r="A30" s="830" t="s">
        <v>692</v>
      </c>
      <c r="B30" s="822"/>
      <c r="C30" s="822"/>
      <c r="D30" s="822"/>
      <c r="E30" s="822"/>
      <c r="F30" s="822"/>
      <c r="G30" s="822"/>
    </row>
    <row r="31" spans="1:8" s="2836" customFormat="1" ht="41.25" customHeight="1">
      <c r="A31" s="3770" t="str">
        <f>'Part IV-A-Uses of Funds'!$C$71</f>
        <v>&lt;&lt; Enter description here; provide detail &amp; justification in tab Part IV-b &gt;&gt;</v>
      </c>
      <c r="B31" s="3771"/>
      <c r="C31" s="3771"/>
      <c r="D31" s="3772"/>
      <c r="E31" s="822"/>
      <c r="F31" s="3779"/>
      <c r="G31" s="822"/>
      <c r="H31" s="3779"/>
    </row>
    <row r="32" spans="1:8" s="2836" customFormat="1" ht="41.25" customHeight="1">
      <c r="A32" s="3773"/>
      <c r="B32" s="3774"/>
      <c r="C32" s="3774"/>
      <c r="D32" s="3775"/>
      <c r="E32" s="822"/>
      <c r="F32" s="3780"/>
      <c r="G32" s="822"/>
      <c r="H32" s="3780"/>
    </row>
    <row r="33" spans="1:8" s="2836" customFormat="1" ht="4.5" customHeight="1">
      <c r="A33" s="822"/>
      <c r="B33" s="822"/>
      <c r="C33" s="822"/>
      <c r="D33" s="822"/>
      <c r="E33" s="822"/>
      <c r="F33" s="3780"/>
      <c r="G33" s="822"/>
      <c r="H33" s="3780"/>
    </row>
    <row r="34" spans="1:8" s="2836" customFormat="1" ht="14.25" customHeight="1">
      <c r="A34" s="829" t="s">
        <v>3339</v>
      </c>
      <c r="B34" s="828">
        <f>'Part IV-A-Uses of Funds'!$G$71</f>
        <v>0</v>
      </c>
      <c r="C34" s="829" t="s">
        <v>1710</v>
      </c>
      <c r="D34" s="828">
        <f>'Part IV-A-Uses of Funds'!$J$71+'Part IV-A-Uses of Funds'!$M$71+'Part IV-A-Uses of Funds'!$P$71</f>
        <v>0</v>
      </c>
      <c r="E34" s="822"/>
      <c r="F34" s="3780"/>
      <c r="G34" s="822"/>
      <c r="H34" s="3780"/>
    </row>
    <row r="35" spans="1:8" s="2836" customFormat="1" ht="6" customHeight="1">
      <c r="D35" s="822"/>
      <c r="E35" s="822"/>
      <c r="F35" s="3780"/>
      <c r="G35" s="824"/>
      <c r="H35" s="3780"/>
    </row>
    <row r="36" spans="1:8" s="2836" customFormat="1" ht="41.25" customHeight="1">
      <c r="A36" s="3770" t="str">
        <f>'Part IV-A-Uses of Funds'!$C$72</f>
        <v>&lt;&lt; Enter description here; provide detail &amp; justification in tab Part IV-b &gt;&gt;</v>
      </c>
      <c r="B36" s="3771"/>
      <c r="C36" s="3771"/>
      <c r="D36" s="3772"/>
      <c r="E36" s="822"/>
      <c r="F36" s="3780"/>
      <c r="G36" s="822"/>
      <c r="H36" s="3780"/>
    </row>
    <row r="37" spans="1:8" s="2836" customFormat="1" ht="41.25" customHeight="1">
      <c r="A37" s="3773"/>
      <c r="B37" s="3774"/>
      <c r="C37" s="3774"/>
      <c r="D37" s="3775"/>
      <c r="E37" s="822"/>
      <c r="F37" s="3780"/>
      <c r="G37" s="822"/>
      <c r="H37" s="3780"/>
    </row>
    <row r="38" spans="1:8" s="2836" customFormat="1" ht="4.5" customHeight="1">
      <c r="A38" s="822"/>
      <c r="B38" s="822"/>
      <c r="C38" s="822"/>
      <c r="D38" s="822"/>
      <c r="E38" s="822"/>
      <c r="F38" s="3780"/>
      <c r="G38" s="822"/>
      <c r="H38" s="3780"/>
    </row>
    <row r="39" spans="1:8" s="2836" customFormat="1" ht="14.25" customHeight="1">
      <c r="A39" s="829" t="s">
        <v>3339</v>
      </c>
      <c r="B39" s="828">
        <f>'Part IV-A-Uses of Funds'!$G$72</f>
        <v>0</v>
      </c>
      <c r="C39" s="829" t="s">
        <v>1710</v>
      </c>
      <c r="D39" s="828">
        <f>'Part IV-A-Uses of Funds'!$J$72+'Part IV-A-Uses of Funds'!$M$72+'Part IV-A-Uses of Funds'!$P$72</f>
        <v>0</v>
      </c>
      <c r="E39" s="822"/>
      <c r="F39" s="3780"/>
      <c r="G39" s="822"/>
      <c r="H39" s="3780"/>
    </row>
    <row r="40" spans="1:8" s="2836" customFormat="1" ht="6" customHeight="1">
      <c r="D40" s="822"/>
      <c r="E40" s="822"/>
      <c r="F40" s="3781"/>
      <c r="G40" s="824"/>
      <c r="H40" s="3781"/>
    </row>
    <row r="41" spans="1:8" s="2836" customFormat="1">
      <c r="A41" s="830" t="s">
        <v>456</v>
      </c>
      <c r="B41" s="822"/>
      <c r="C41" s="822"/>
      <c r="D41" s="822"/>
      <c r="E41" s="826"/>
      <c r="F41" s="826"/>
      <c r="G41" s="822"/>
    </row>
    <row r="42" spans="1:8" s="2836" customFormat="1" ht="41.25" customHeight="1">
      <c r="A42" s="3770" t="str">
        <f>'Part IV-A-Uses of Funds'!$C$85</f>
        <v>&lt;&lt; Enter description here; provide detail &amp; justification in tab Part IV-b &gt;&gt;</v>
      </c>
      <c r="B42" s="3771"/>
      <c r="C42" s="3771"/>
      <c r="D42" s="3772"/>
      <c r="F42" s="3776"/>
      <c r="G42" s="822"/>
      <c r="H42" s="3776"/>
    </row>
    <row r="43" spans="1:8" s="2836" customFormat="1" ht="41.25" customHeight="1">
      <c r="A43" s="3773"/>
      <c r="B43" s="3774"/>
      <c r="C43" s="3774"/>
      <c r="D43" s="3775"/>
      <c r="E43" s="822"/>
      <c r="F43" s="3777"/>
      <c r="G43" s="822"/>
      <c r="H43" s="3777"/>
    </row>
    <row r="44" spans="1:8" s="2836" customFormat="1" ht="4.5" customHeight="1">
      <c r="A44" s="822"/>
      <c r="B44" s="822"/>
      <c r="C44" s="822"/>
      <c r="D44" s="822"/>
      <c r="E44" s="822"/>
      <c r="F44" s="3777"/>
      <c r="G44" s="822"/>
      <c r="H44" s="3777"/>
    </row>
    <row r="45" spans="1:8" s="2836" customFormat="1" ht="13.5" customHeight="1">
      <c r="A45" s="829" t="s">
        <v>3339</v>
      </c>
      <c r="B45" s="828">
        <f>'Part IV-A-Uses of Funds'!$G$85</f>
        <v>0</v>
      </c>
      <c r="C45" s="829" t="s">
        <v>1710</v>
      </c>
      <c r="D45" s="828">
        <f>'Part IV-A-Uses of Funds'!$J$85+'Part IV-A-Uses of Funds'!$M$85+'Part IV-A-Uses of Funds'!$P$85</f>
        <v>0</v>
      </c>
      <c r="E45" s="822"/>
      <c r="F45" s="3777"/>
      <c r="G45" s="822"/>
      <c r="H45" s="3777"/>
    </row>
    <row r="46" spans="1:8" s="2836" customFormat="1" ht="6" customHeight="1">
      <c r="A46" s="822"/>
      <c r="B46" s="823"/>
      <c r="C46" s="822"/>
      <c r="D46" s="822"/>
      <c r="E46" s="822"/>
      <c r="F46" s="3778"/>
      <c r="G46" s="824"/>
      <c r="H46" s="3778"/>
    </row>
    <row r="47" spans="1:8" s="2836" customFormat="1">
      <c r="A47" s="830" t="s">
        <v>694</v>
      </c>
      <c r="B47" s="822"/>
      <c r="C47" s="822"/>
      <c r="D47" s="822"/>
      <c r="E47" s="822"/>
      <c r="F47" s="822"/>
      <c r="G47" s="822"/>
    </row>
    <row r="48" spans="1:8" s="2836" customFormat="1" ht="41.25" customHeight="1">
      <c r="A48" s="3770" t="str">
        <f>'Part IV-A-Uses of Funds'!$C$102</f>
        <v>&lt;&lt; Enter description here; provide detail &amp; justification in tab Part IV-b &gt;&gt;</v>
      </c>
      <c r="B48" s="3771"/>
      <c r="C48" s="3771"/>
      <c r="D48" s="3772"/>
      <c r="F48" s="3776"/>
      <c r="G48" s="822"/>
    </row>
    <row r="49" spans="1:7" s="2836" customFormat="1" ht="41.25" customHeight="1">
      <c r="A49" s="3773"/>
      <c r="B49" s="3774"/>
      <c r="C49" s="3774"/>
      <c r="D49" s="3775"/>
      <c r="E49" s="822"/>
      <c r="F49" s="3777"/>
      <c r="G49" s="822"/>
    </row>
    <row r="50" spans="1:7" s="2836" customFormat="1" ht="3" customHeight="1">
      <c r="A50" s="822"/>
      <c r="B50" s="822"/>
      <c r="C50" s="822"/>
      <c r="D50" s="822"/>
      <c r="E50" s="822"/>
      <c r="F50" s="3777"/>
      <c r="G50" s="822"/>
    </row>
    <row r="51" spans="1:7" s="2836" customFormat="1" ht="13.5" customHeight="1">
      <c r="A51" s="829" t="s">
        <v>3339</v>
      </c>
      <c r="B51" s="828">
        <f>'Part IV-A-Uses of Funds'!$G$102</f>
        <v>0</v>
      </c>
      <c r="C51" s="825"/>
      <c r="D51" s="825"/>
      <c r="E51" s="822"/>
      <c r="F51" s="3777"/>
      <c r="G51" s="822"/>
    </row>
    <row r="52" spans="1:7" s="2836" customFormat="1" ht="3.75" customHeight="1">
      <c r="A52" s="822"/>
      <c r="B52" s="822"/>
      <c r="C52" s="822"/>
      <c r="D52" s="822"/>
      <c r="E52" s="822"/>
      <c r="F52" s="3778"/>
      <c r="G52" s="824"/>
    </row>
    <row r="53" spans="1:7" s="2836" customFormat="1">
      <c r="A53" s="830" t="s">
        <v>3340</v>
      </c>
      <c r="B53" s="822"/>
      <c r="C53" s="822"/>
      <c r="D53" s="822"/>
      <c r="E53" s="822"/>
      <c r="F53" s="822"/>
      <c r="G53" s="822"/>
    </row>
    <row r="54" spans="1:7" s="2836" customFormat="1" ht="41.25" customHeight="1">
      <c r="A54" s="3770" t="str">
        <f>'Part IV-A-Uses of Funds'!$C$112</f>
        <v>&lt;&lt; Enter description here; provide detail &amp; justification in tab Part IV-b &gt;&gt;</v>
      </c>
      <c r="B54" s="3771"/>
      <c r="C54" s="3771"/>
      <c r="D54" s="3772"/>
      <c r="F54" s="3779"/>
      <c r="G54" s="822"/>
    </row>
    <row r="55" spans="1:7" s="2836" customFormat="1" ht="41.25" customHeight="1">
      <c r="A55" s="3773"/>
      <c r="B55" s="3774"/>
      <c r="C55" s="3774"/>
      <c r="D55" s="3775"/>
      <c r="E55" s="822"/>
      <c r="F55" s="3780"/>
      <c r="G55" s="822"/>
    </row>
    <row r="56" spans="1:7" s="2836" customFormat="1" ht="3" customHeight="1">
      <c r="A56" s="822"/>
      <c r="B56" s="822"/>
      <c r="C56" s="822"/>
      <c r="D56" s="822"/>
      <c r="E56" s="822"/>
      <c r="F56" s="3780"/>
      <c r="G56" s="822"/>
    </row>
    <row r="57" spans="1:7" s="2836" customFormat="1" ht="25.5">
      <c r="A57" s="829" t="s">
        <v>3339</v>
      </c>
      <c r="B57" s="828">
        <f>'Part IV-A-Uses of Funds'!$G$112</f>
        <v>0</v>
      </c>
      <c r="C57" s="825"/>
      <c r="D57" s="825"/>
      <c r="E57" s="822"/>
      <c r="F57" s="3780"/>
      <c r="G57" s="822"/>
    </row>
    <row r="58" spans="1:7" s="2836" customFormat="1" ht="3.75" customHeight="1">
      <c r="A58" s="821"/>
      <c r="B58" s="821"/>
      <c r="C58" s="821"/>
      <c r="D58" s="821"/>
      <c r="E58" s="821"/>
      <c r="F58" s="3780"/>
      <c r="G58" s="824"/>
    </row>
    <row r="59" spans="1:7" s="2836" customFormat="1" ht="41.25" customHeight="1">
      <c r="A59" s="3770" t="str">
        <f>'Part IV-A-Uses of Funds'!$C$113</f>
        <v>&lt;&lt; Enter description here; provide detail &amp; justification in tab Part IV-b &gt;&gt;</v>
      </c>
      <c r="B59" s="3771"/>
      <c r="C59" s="3771"/>
      <c r="D59" s="3772"/>
      <c r="F59" s="3780"/>
      <c r="G59" s="822"/>
    </row>
    <row r="60" spans="1:7" s="2836" customFormat="1" ht="41.25" customHeight="1">
      <c r="A60" s="3773"/>
      <c r="B60" s="3774"/>
      <c r="C60" s="3774"/>
      <c r="D60" s="3775"/>
      <c r="E60" s="822"/>
      <c r="F60" s="3780"/>
      <c r="G60" s="822"/>
    </row>
    <row r="61" spans="1:7" s="2836" customFormat="1" ht="3" customHeight="1">
      <c r="A61" s="822"/>
      <c r="B61" s="822"/>
      <c r="C61" s="822"/>
      <c r="D61" s="822"/>
      <c r="E61" s="822"/>
      <c r="F61" s="3780"/>
      <c r="G61" s="822"/>
    </row>
    <row r="62" spans="1:7" s="2836" customFormat="1" ht="25.5">
      <c r="A62" s="829" t="s">
        <v>3339</v>
      </c>
      <c r="B62" s="828">
        <f>'Part IV-A-Uses of Funds'!$G$113</f>
        <v>0</v>
      </c>
      <c r="C62" s="825"/>
      <c r="D62" s="825"/>
      <c r="E62" s="822"/>
      <c r="F62" s="3780"/>
      <c r="G62" s="822"/>
    </row>
    <row r="63" spans="1:7" s="2836" customFormat="1" ht="3.75" customHeight="1">
      <c r="A63" s="821"/>
      <c r="B63" s="821"/>
      <c r="C63" s="821"/>
      <c r="D63" s="821"/>
      <c r="E63" s="821"/>
      <c r="F63" s="3781"/>
      <c r="G63" s="824"/>
    </row>
    <row r="64" spans="1:7" s="2836" customFormat="1">
      <c r="A64" s="830" t="s">
        <v>3341</v>
      </c>
      <c r="B64" s="822"/>
      <c r="C64" s="822"/>
      <c r="D64" s="822"/>
      <c r="E64" s="822"/>
      <c r="F64" s="822"/>
      <c r="G64" s="822"/>
    </row>
    <row r="65" spans="1:8" s="2836" customFormat="1" ht="41.25" customHeight="1">
      <c r="A65" s="3770" t="str">
        <f>'Part IV-A-Uses of Funds'!$C$119</f>
        <v>&lt;&lt; Enter description here; provide detail &amp; justification in tab Part IV-b &gt;&gt;</v>
      </c>
      <c r="B65" s="3771"/>
      <c r="C65" s="3771"/>
      <c r="D65" s="3772"/>
      <c r="F65" s="3776"/>
      <c r="G65" s="822"/>
    </row>
    <row r="66" spans="1:8" s="2836" customFormat="1" ht="41.25" customHeight="1">
      <c r="A66" s="3773"/>
      <c r="B66" s="3774"/>
      <c r="C66" s="3774"/>
      <c r="D66" s="3775"/>
      <c r="E66" s="822"/>
      <c r="F66" s="3777"/>
      <c r="G66" s="822"/>
    </row>
    <row r="67" spans="1:8" s="2836" customFormat="1" ht="3" customHeight="1">
      <c r="A67" s="822"/>
      <c r="B67" s="822"/>
      <c r="C67" s="822"/>
      <c r="D67" s="822"/>
      <c r="E67" s="822"/>
      <c r="F67" s="3777"/>
      <c r="G67" s="822"/>
    </row>
    <row r="68" spans="1:8" s="2836" customFormat="1" ht="25.5">
      <c r="A68" s="829" t="s">
        <v>3339</v>
      </c>
      <c r="B68" s="828">
        <f>'Part IV-A-Uses of Funds'!$G$119</f>
        <v>0</v>
      </c>
      <c r="C68" s="825"/>
      <c r="D68" s="825"/>
      <c r="E68" s="822"/>
      <c r="F68" s="3777"/>
      <c r="G68" s="822"/>
    </row>
    <row r="69" spans="1:8" s="2836" customFormat="1" ht="3.75" customHeight="1">
      <c r="A69" s="822"/>
      <c r="B69" s="823"/>
      <c r="C69" s="822"/>
      <c r="D69" s="822"/>
      <c r="E69" s="822"/>
      <c r="F69" s="3778"/>
      <c r="G69" s="824"/>
    </row>
    <row r="70" spans="1:8" s="2836" customFormat="1">
      <c r="A70" s="830" t="s">
        <v>1260</v>
      </c>
      <c r="B70" s="822"/>
      <c r="C70" s="822"/>
      <c r="D70" s="822"/>
      <c r="E70" s="822"/>
      <c r="F70" s="822"/>
      <c r="G70" s="822"/>
    </row>
    <row r="71" spans="1:8" s="2836" customFormat="1" ht="41.25" customHeight="1">
      <c r="A71" s="3770" t="str">
        <f>'Part IV-A-Uses of Funds'!$C$134</f>
        <v>&lt;&lt; Enter description here; provide detail &amp; justification in tab Part IV-b &gt;&gt;</v>
      </c>
      <c r="B71" s="3771"/>
      <c r="C71" s="3771"/>
      <c r="D71" s="3772"/>
      <c r="F71" s="3776"/>
      <c r="G71" s="822"/>
      <c r="H71" s="3776"/>
    </row>
    <row r="72" spans="1:8" s="2836" customFormat="1" ht="41.25" customHeight="1">
      <c r="A72" s="3773"/>
      <c r="B72" s="3774"/>
      <c r="C72" s="3774"/>
      <c r="D72" s="3775"/>
      <c r="E72" s="822"/>
      <c r="F72" s="3777"/>
      <c r="G72" s="822"/>
      <c r="H72" s="3777"/>
    </row>
    <row r="73" spans="1:8" s="2836" customFormat="1" ht="4.5" customHeight="1">
      <c r="A73" s="822"/>
      <c r="B73" s="822"/>
      <c r="C73" s="822"/>
      <c r="D73" s="822"/>
      <c r="E73" s="822"/>
      <c r="F73" s="3777"/>
      <c r="G73" s="822"/>
      <c r="H73" s="3777"/>
    </row>
    <row r="74" spans="1:8" s="2836" customFormat="1" ht="12.75" customHeight="1">
      <c r="A74" s="829" t="s">
        <v>3339</v>
      </c>
      <c r="B74" s="828">
        <f>'Part IV-A-Uses of Funds'!$G$134</f>
        <v>0</v>
      </c>
      <c r="C74" s="829" t="s">
        <v>1710</v>
      </c>
      <c r="D74" s="828">
        <f>'Part IV-A-Uses of Funds'!$J$134+'Part IV-A-Uses of Funds'!$M$134+'Part IV-A-Uses of Funds'!$P$134</f>
        <v>0</v>
      </c>
      <c r="E74" s="822"/>
      <c r="F74" s="3777"/>
      <c r="G74" s="822"/>
      <c r="H74" s="3777"/>
    </row>
    <row r="75" spans="1:8" s="2836" customFormat="1" ht="6" customHeight="1">
      <c r="A75" s="822"/>
      <c r="B75" s="823"/>
      <c r="C75" s="822"/>
      <c r="D75" s="822"/>
      <c r="E75" s="822"/>
      <c r="F75" s="3778"/>
      <c r="G75" s="824"/>
      <c r="H75" s="3778"/>
    </row>
    <row r="76" spans="1:8" s="2836" customFormat="1">
      <c r="A76" s="830" t="s">
        <v>3342</v>
      </c>
      <c r="B76" s="823"/>
      <c r="C76" s="822"/>
      <c r="D76" s="822"/>
      <c r="E76" s="822"/>
      <c r="F76" s="822"/>
      <c r="G76" s="824"/>
    </row>
    <row r="77" spans="1:8" s="2836" customFormat="1" ht="41.25" customHeight="1">
      <c r="A77" s="3770" t="str">
        <f>'Part IV-A-Uses of Funds'!$C$143</f>
        <v>&lt;&lt; Enter description here; provide detail &amp; justification in tab Part IV-b &gt;&gt;</v>
      </c>
      <c r="B77" s="3771"/>
      <c r="C77" s="3771"/>
      <c r="D77" s="3772"/>
      <c r="F77" s="3776"/>
      <c r="G77" s="822"/>
      <c r="H77" s="3776"/>
    </row>
    <row r="78" spans="1:8" s="2836" customFormat="1" ht="41.25" customHeight="1">
      <c r="A78" s="3773"/>
      <c r="B78" s="3774"/>
      <c r="C78" s="3774"/>
      <c r="D78" s="3775"/>
      <c r="E78" s="822"/>
      <c r="F78" s="3777"/>
      <c r="G78" s="822"/>
      <c r="H78" s="3777"/>
    </row>
    <row r="79" spans="1:8" s="2836" customFormat="1" ht="4.5" customHeight="1">
      <c r="A79" s="822"/>
      <c r="B79" s="822"/>
      <c r="C79" s="822"/>
      <c r="D79" s="822"/>
      <c r="E79" s="822"/>
      <c r="F79" s="3777"/>
      <c r="G79" s="822"/>
      <c r="H79" s="3777"/>
    </row>
    <row r="80" spans="1:8" s="2836" customFormat="1" ht="12.75" customHeight="1">
      <c r="A80" s="829" t="s">
        <v>3339</v>
      </c>
      <c r="B80" s="828">
        <f>'Part IV-A-Uses of Funds'!$G$143</f>
        <v>0</v>
      </c>
      <c r="C80" s="829" t="s">
        <v>1710</v>
      </c>
      <c r="D80" s="828">
        <f>'Part IV-A-Uses of Funds'!$J$143+'Part IV-A-Uses of Funds'!$M$143+'Part IV-A-Uses of Funds'!$P$143</f>
        <v>0</v>
      </c>
      <c r="E80" s="827"/>
      <c r="F80" s="3777"/>
      <c r="G80" s="822"/>
      <c r="H80" s="3777"/>
    </row>
    <row r="81" spans="4:8" s="2836" customFormat="1" ht="6" customHeight="1">
      <c r="D81" s="2837"/>
      <c r="E81" s="2838"/>
      <c r="F81" s="3778"/>
      <c r="G81" s="824"/>
      <c r="H81" s="377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Dfft2e7LlFAHILhPHVk04KmP1hibCNa449TlkiuIW2ZRsIPXk1uYiX9VTFYhnIWjyEA6DZgsIu1BBgYoZIwdfA==" saltValue="Tj8KD/nH/4vw9YRdUdePu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3" t="str">
        <f>CONCATENATE("PART FIVE - UTILITY ALLOWANCES","  -  ",'Part I-Project Information'!$O$7," ",'Part I-Project Information'!$F$35,", ",'Part I-Project Information'!F39,", ",'Part I-Project Information'!J40," County")</f>
        <v>PART FIVE - UTILITY ALLOWANCES  -  2021-014 Dunbar Court, Byron, Peach County</v>
      </c>
      <c r="B1" s="3824"/>
      <c r="C1" s="3824"/>
      <c r="D1" s="3824"/>
      <c r="E1" s="3824"/>
      <c r="F1" s="3824"/>
      <c r="G1" s="3824"/>
      <c r="H1" s="3824"/>
      <c r="I1" s="3824"/>
      <c r="J1" s="3824"/>
      <c r="K1" s="3824"/>
      <c r="L1" s="3824"/>
      <c r="M1" s="3824"/>
      <c r="N1" s="10"/>
      <c r="O1" s="10"/>
      <c r="P1" s="10"/>
      <c r="Q1" s="10"/>
      <c r="R1" s="16"/>
      <c r="S1" s="16"/>
      <c r="T1" s="16"/>
    </row>
    <row r="2" spans="1:25" s="8" customFormat="1" ht="7.5" customHeight="1"/>
    <row r="3" spans="1:25" s="8" customFormat="1" ht="12.75" customHeight="1">
      <c r="B3" s="3826" t="str">
        <f>'Part I-Project Information'!$B$7</f>
        <v>2021 Core Application</v>
      </c>
      <c r="C3" s="3826"/>
      <c r="D3" s="3826"/>
      <c r="E3" s="3826"/>
      <c r="F3" s="4" t="s">
        <v>3827</v>
      </c>
      <c r="I3" s="2650" t="str">
        <f>VLOOKUP('Part I-Project Information'!$J$40,'DCA Underwriting Assumptions'!$G$174:$H$333,2)</f>
        <v>North</v>
      </c>
    </row>
    <row r="4" spans="1:25" s="8" customFormat="1" ht="6" customHeight="1" thickBot="1"/>
    <row r="5" spans="1:25">
      <c r="A5" s="249" t="s">
        <v>6833</v>
      </c>
      <c r="O5" s="3791" t="s">
        <v>6832</v>
      </c>
      <c r="P5" s="3792"/>
      <c r="Q5" s="3792"/>
      <c r="R5" s="3792"/>
      <c r="S5" s="3792"/>
      <c r="T5" s="3792"/>
      <c r="U5" s="3793"/>
      <c r="V5" s="474"/>
      <c r="W5" s="474"/>
      <c r="X5" s="474"/>
      <c r="Y5" s="474"/>
    </row>
    <row r="6" spans="1:25" ht="6" customHeight="1">
      <c r="A6" s="8"/>
      <c r="O6" s="3794"/>
      <c r="P6" s="3795"/>
      <c r="Q6" s="3795"/>
      <c r="R6" s="3795"/>
      <c r="S6" s="3795"/>
      <c r="T6" s="3795"/>
      <c r="U6" s="3796"/>
      <c r="V6" s="474"/>
      <c r="W6" s="474"/>
      <c r="X6" s="474"/>
      <c r="Y6" s="474"/>
    </row>
    <row r="7" spans="1:25" s="8" customFormat="1" ht="13.5" customHeight="1">
      <c r="A7" s="13" t="s">
        <v>586</v>
      </c>
      <c r="B7" s="13" t="s">
        <v>2126</v>
      </c>
      <c r="F7" s="1" t="s">
        <v>2401</v>
      </c>
      <c r="G7" s="1"/>
      <c r="H7" s="1"/>
      <c r="I7" s="3825" t="s">
        <v>6856</v>
      </c>
      <c r="J7" s="3817"/>
      <c r="K7" s="3817"/>
      <c r="L7" s="3817"/>
      <c r="M7" s="3818"/>
      <c r="O7" s="3794"/>
      <c r="P7" s="3795"/>
      <c r="Q7" s="3795"/>
      <c r="R7" s="3795"/>
      <c r="S7" s="3795"/>
      <c r="T7" s="3795"/>
      <c r="U7" s="3796"/>
      <c r="V7" s="474"/>
      <c r="W7" s="474"/>
      <c r="X7" s="474"/>
      <c r="Y7" s="474"/>
    </row>
    <row r="8" spans="1:25" s="8" customFormat="1" ht="13.35" customHeight="1">
      <c r="A8" s="13"/>
      <c r="F8" s="1" t="s">
        <v>606</v>
      </c>
      <c r="G8" s="1"/>
      <c r="H8" s="33"/>
      <c r="I8" s="3819">
        <v>44197</v>
      </c>
      <c r="J8" s="3820"/>
      <c r="K8" s="6" t="s">
        <v>514</v>
      </c>
      <c r="L8" s="3821" t="s">
        <v>6596</v>
      </c>
      <c r="M8" s="3822"/>
      <c r="O8" s="3794"/>
      <c r="P8" s="3795"/>
      <c r="Q8" s="3795"/>
      <c r="R8" s="3795"/>
      <c r="S8" s="3795"/>
      <c r="T8" s="3795"/>
      <c r="U8" s="3796"/>
      <c r="V8" s="474"/>
      <c r="W8" s="474"/>
      <c r="X8" s="474"/>
      <c r="Y8" s="474"/>
    </row>
    <row r="9" spans="1:25" s="8" customFormat="1" ht="4.5" customHeight="1">
      <c r="A9" s="13"/>
      <c r="O9" s="3794"/>
      <c r="P9" s="3795"/>
      <c r="Q9" s="3795"/>
      <c r="R9" s="3795"/>
      <c r="S9" s="3795"/>
      <c r="T9" s="3795"/>
      <c r="U9" s="3796"/>
      <c r="V9" s="474"/>
      <c r="W9" s="474"/>
      <c r="X9" s="474"/>
      <c r="Y9" s="474"/>
    </row>
    <row r="10" spans="1:25" s="13" customFormat="1" ht="13.5" customHeight="1">
      <c r="B10" s="243"/>
      <c r="C10" s="243"/>
      <c r="D10" s="243"/>
      <c r="E10" s="243"/>
      <c r="F10" s="3807" t="s">
        <v>580</v>
      </c>
      <c r="G10" s="3807"/>
      <c r="I10" s="3808" t="s">
        <v>192</v>
      </c>
      <c r="J10" s="3808"/>
      <c r="K10" s="3808"/>
      <c r="L10" s="3808"/>
      <c r="M10" s="3808"/>
      <c r="O10" s="3794"/>
      <c r="P10" s="3795"/>
      <c r="Q10" s="3795"/>
      <c r="R10" s="3795"/>
      <c r="S10" s="3795"/>
      <c r="T10" s="3795"/>
      <c r="U10" s="3796"/>
    </row>
    <row r="11" spans="1:25" s="13" customFormat="1" ht="13.5" customHeight="1">
      <c r="B11" s="243" t="s">
        <v>765</v>
      </c>
      <c r="D11" s="243" t="s">
        <v>1533</v>
      </c>
      <c r="F11" s="2646" t="s">
        <v>612</v>
      </c>
      <c r="G11" s="2646" t="s">
        <v>1764</v>
      </c>
      <c r="I11" s="244" t="s">
        <v>539</v>
      </c>
      <c r="J11" s="245">
        <v>1</v>
      </c>
      <c r="K11" s="245">
        <v>2</v>
      </c>
      <c r="L11" s="245">
        <v>3</v>
      </c>
      <c r="M11" s="245">
        <v>4</v>
      </c>
      <c r="O11" s="3794"/>
      <c r="P11" s="3795"/>
      <c r="Q11" s="3795"/>
      <c r="R11" s="3795"/>
      <c r="S11" s="3795"/>
      <c r="T11" s="3795"/>
      <c r="U11" s="3796"/>
    </row>
    <row r="12" spans="1:25" s="8" customFormat="1" ht="12" customHeight="1" thickBot="1">
      <c r="B12" s="1346" t="s">
        <v>1766</v>
      </c>
      <c r="C12" s="1347"/>
      <c r="D12" s="3809" t="s">
        <v>6857</v>
      </c>
      <c r="E12" s="3810"/>
      <c r="F12" s="2839" t="s">
        <v>422</v>
      </c>
      <c r="G12" s="2839"/>
      <c r="H12" s="908"/>
      <c r="I12" s="2840"/>
      <c r="J12" s="2840">
        <v>9</v>
      </c>
      <c r="K12" s="2840">
        <v>11</v>
      </c>
      <c r="L12" s="2840">
        <v>16</v>
      </c>
      <c r="M12" s="2840"/>
      <c r="O12" s="3797"/>
      <c r="P12" s="3798"/>
      <c r="Q12" s="3798"/>
      <c r="R12" s="3798"/>
      <c r="S12" s="3798"/>
      <c r="T12" s="3798"/>
      <c r="U12" s="3799"/>
    </row>
    <row r="13" spans="1:25" s="8" customFormat="1" ht="12" customHeight="1">
      <c r="B13" s="1348" t="s">
        <v>1531</v>
      </c>
      <c r="C13" s="1349"/>
      <c r="D13" s="3811" t="s">
        <v>1530</v>
      </c>
      <c r="E13" s="3812"/>
      <c r="F13" s="2841" t="s">
        <v>422</v>
      </c>
      <c r="G13" s="2841"/>
      <c r="H13" s="907"/>
      <c r="I13" s="2842"/>
      <c r="J13" s="2842">
        <v>8</v>
      </c>
      <c r="K13" s="2842">
        <v>10</v>
      </c>
      <c r="L13" s="2843">
        <v>12</v>
      </c>
      <c r="M13" s="2843"/>
      <c r="O13" s="3800" t="s">
        <v>3411</v>
      </c>
      <c r="P13" s="3800"/>
      <c r="Q13" s="3800"/>
    </row>
    <row r="14" spans="1:25" s="8" customFormat="1" ht="12" customHeight="1">
      <c r="B14" s="1350" t="s">
        <v>1532</v>
      </c>
      <c r="C14" s="1351"/>
      <c r="D14" s="3811" t="s">
        <v>1530</v>
      </c>
      <c r="E14" s="3812"/>
      <c r="F14" s="2841" t="s">
        <v>422</v>
      </c>
      <c r="G14" s="2841"/>
      <c r="H14" s="246"/>
      <c r="I14" s="2842"/>
      <c r="J14" s="2842">
        <v>14</v>
      </c>
      <c r="K14" s="2842">
        <v>19</v>
      </c>
      <c r="L14" s="2843">
        <v>24</v>
      </c>
      <c r="M14" s="2843"/>
      <c r="O14" s="3800"/>
      <c r="P14" s="3800"/>
      <c r="Q14" s="3800"/>
    </row>
    <row r="15" spans="1:25" s="8" customFormat="1" ht="12" customHeight="1">
      <c r="B15" s="1352" t="s">
        <v>447</v>
      </c>
      <c r="C15" s="1353"/>
      <c r="D15" s="1352" t="s">
        <v>1530</v>
      </c>
      <c r="E15" s="247"/>
      <c r="F15" s="2841" t="s">
        <v>422</v>
      </c>
      <c r="G15" s="2841"/>
      <c r="H15" s="906"/>
      <c r="I15" s="2842"/>
      <c r="J15" s="2842">
        <v>7</v>
      </c>
      <c r="K15" s="2842">
        <v>9</v>
      </c>
      <c r="L15" s="2843">
        <v>12</v>
      </c>
      <c r="M15" s="2843"/>
      <c r="O15" s="3800"/>
      <c r="P15" s="3800"/>
      <c r="Q15" s="3800"/>
    </row>
    <row r="16" spans="1:25" s="8" customFormat="1" ht="12" customHeight="1">
      <c r="B16" s="1354" t="s">
        <v>3405</v>
      </c>
      <c r="C16" s="1349"/>
      <c r="D16" s="1348" t="s">
        <v>1530</v>
      </c>
      <c r="E16" s="905"/>
      <c r="F16" s="2841"/>
      <c r="G16" s="2841" t="s">
        <v>422</v>
      </c>
      <c r="H16" s="907"/>
      <c r="I16" s="2842"/>
      <c r="J16" s="2842"/>
      <c r="K16" s="2842"/>
      <c r="L16" s="2843"/>
      <c r="M16" s="2843"/>
      <c r="O16" s="3800"/>
      <c r="P16" s="3800"/>
      <c r="Q16" s="3800"/>
    </row>
    <row r="17" spans="1:25" s="8" customFormat="1" ht="12" customHeight="1">
      <c r="B17" s="1354" t="s">
        <v>3406</v>
      </c>
      <c r="C17" s="1349"/>
      <c r="D17" s="1348" t="s">
        <v>1530</v>
      </c>
      <c r="E17" s="905"/>
      <c r="F17" s="2841"/>
      <c r="G17" s="2841" t="s">
        <v>422</v>
      </c>
      <c r="H17" s="907"/>
      <c r="I17" s="2842"/>
      <c r="J17" s="2842"/>
      <c r="K17" s="2842"/>
      <c r="L17" s="2843"/>
      <c r="M17" s="2843"/>
      <c r="O17" s="3800"/>
      <c r="P17" s="3800"/>
      <c r="Q17" s="3800"/>
    </row>
    <row r="18" spans="1:25" s="8" customFormat="1" ht="12" customHeight="1">
      <c r="B18" s="1355" t="s">
        <v>3407</v>
      </c>
      <c r="C18" s="1351"/>
      <c r="D18" s="1350" t="s">
        <v>1530</v>
      </c>
      <c r="E18" s="905"/>
      <c r="F18" s="2841" t="s">
        <v>422</v>
      </c>
      <c r="G18" s="2841"/>
      <c r="H18" s="246"/>
      <c r="I18" s="2842"/>
      <c r="J18" s="2842">
        <v>22</v>
      </c>
      <c r="K18" s="2842">
        <v>28</v>
      </c>
      <c r="L18" s="2843">
        <v>34</v>
      </c>
      <c r="M18" s="2843"/>
      <c r="O18" s="3800"/>
      <c r="P18" s="3800"/>
      <c r="Q18" s="3800"/>
    </row>
    <row r="19" spans="1:25" s="8" customFormat="1" ht="12" customHeight="1">
      <c r="B19" s="1352" t="s">
        <v>1321</v>
      </c>
      <c r="C19" s="1353"/>
      <c r="D19" s="1358" t="s">
        <v>3197</v>
      </c>
      <c r="E19" s="2844" t="s">
        <v>2769</v>
      </c>
      <c r="F19" s="2841" t="s">
        <v>422</v>
      </c>
      <c r="G19" s="2841"/>
      <c r="H19" s="906"/>
      <c r="I19" s="2842"/>
      <c r="J19" s="2842">
        <v>45</v>
      </c>
      <c r="K19" s="2842">
        <v>52</v>
      </c>
      <c r="L19" s="2843">
        <v>65</v>
      </c>
      <c r="M19" s="2843"/>
      <c r="O19" s="3800"/>
      <c r="P19" s="3800"/>
      <c r="Q19" s="3800"/>
    </row>
    <row r="20" spans="1:25" s="8" customFormat="1" ht="12" customHeight="1">
      <c r="B20" s="1356" t="s">
        <v>1765</v>
      </c>
      <c r="C20" s="1357"/>
      <c r="D20" s="248"/>
      <c r="E20" s="220"/>
      <c r="F20" s="2841"/>
      <c r="G20" s="2841" t="s">
        <v>422</v>
      </c>
      <c r="H20" s="907"/>
      <c r="I20" s="2842"/>
      <c r="J20" s="2842"/>
      <c r="K20" s="2842"/>
      <c r="L20" s="2843"/>
      <c r="M20" s="2843"/>
      <c r="O20" s="3800"/>
      <c r="P20" s="3800"/>
      <c r="Q20" s="3800"/>
    </row>
    <row r="21" spans="1:25" s="8" customFormat="1" ht="12" customHeight="1">
      <c r="B21" s="1356" t="s">
        <v>711</v>
      </c>
      <c r="C21" s="3813"/>
      <c r="D21" s="3814"/>
      <c r="E21" s="3815"/>
      <c r="F21" s="2845"/>
      <c r="G21" s="2845"/>
      <c r="H21" s="909"/>
      <c r="I21" s="2846"/>
      <c r="J21" s="2846"/>
      <c r="K21" s="2846"/>
      <c r="L21" s="2847"/>
      <c r="M21" s="2847"/>
      <c r="O21" s="3800"/>
      <c r="P21" s="3800"/>
      <c r="Q21" s="3800"/>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163</v>
      </c>
      <c r="M22" s="149">
        <f>IF(SUM(M12:M21)=0,0,IF(OR($D12="&lt;&lt;Select Fuel &gt;&gt;",$D13="&lt;&lt;Select Fuel &gt;&gt;",$D14="&lt;&lt;Select Fuel &gt;&gt;"),"Select Fuel",IF($E19="&lt;Select&gt;","Submeter?",SUM(M12:M21))))</f>
        <v>0</v>
      </c>
    </row>
    <row r="23" spans="1:25" s="8" customFormat="1" ht="7.5" customHeight="1">
      <c r="M23" s="27"/>
      <c r="N23" s="27"/>
      <c r="O23" s="3791" t="s">
        <v>6832</v>
      </c>
      <c r="P23" s="3792"/>
      <c r="Q23" s="3792"/>
      <c r="R23" s="3792"/>
      <c r="S23" s="3792"/>
      <c r="T23" s="3792"/>
      <c r="U23" s="3793"/>
      <c r="V23" s="474"/>
      <c r="W23" s="474"/>
      <c r="X23" s="474"/>
      <c r="Y23" s="474"/>
    </row>
    <row r="24" spans="1:25" s="8" customFormat="1" ht="12.75" customHeight="1">
      <c r="A24" s="13" t="s">
        <v>710</v>
      </c>
      <c r="B24" s="13" t="s">
        <v>2127</v>
      </c>
      <c r="F24" s="1" t="s">
        <v>2401</v>
      </c>
      <c r="G24" s="1"/>
      <c r="H24" s="1"/>
      <c r="I24" s="3816"/>
      <c r="J24" s="3817"/>
      <c r="K24" s="3817"/>
      <c r="L24" s="3817"/>
      <c r="M24" s="3818"/>
      <c r="O24" s="3794"/>
      <c r="P24" s="3795"/>
      <c r="Q24" s="3795"/>
      <c r="R24" s="3795"/>
      <c r="S24" s="3795"/>
      <c r="T24" s="3795"/>
      <c r="U24" s="3796"/>
      <c r="V24" s="474"/>
      <c r="W24" s="474"/>
      <c r="X24" s="474"/>
      <c r="Y24" s="474"/>
    </row>
    <row r="25" spans="1:25" s="8" customFormat="1" ht="13.35" customHeight="1">
      <c r="A25" s="13"/>
      <c r="B25" s="13"/>
      <c r="F25" s="1" t="s">
        <v>606</v>
      </c>
      <c r="G25" s="1"/>
      <c r="H25" s="33"/>
      <c r="I25" s="3819"/>
      <c r="J25" s="3820"/>
      <c r="K25" s="6" t="s">
        <v>514</v>
      </c>
      <c r="L25" s="3821"/>
      <c r="M25" s="3822"/>
      <c r="O25" s="3794"/>
      <c r="P25" s="3795"/>
      <c r="Q25" s="3795"/>
      <c r="R25" s="3795"/>
      <c r="S25" s="3795"/>
      <c r="T25" s="3795"/>
      <c r="U25" s="3796"/>
      <c r="V25" s="474"/>
      <c r="W25" s="474"/>
      <c r="X25" s="474"/>
      <c r="Y25" s="474"/>
    </row>
    <row r="26" spans="1:25" s="8" customFormat="1" ht="4.5" customHeight="1">
      <c r="A26" s="13"/>
      <c r="O26" s="3794"/>
      <c r="P26" s="3795"/>
      <c r="Q26" s="3795"/>
      <c r="R26" s="3795"/>
      <c r="S26" s="3795"/>
      <c r="T26" s="3795"/>
      <c r="U26" s="3796"/>
      <c r="V26" s="474"/>
      <c r="W26" s="474"/>
      <c r="X26" s="474"/>
      <c r="Y26" s="474"/>
    </row>
    <row r="27" spans="1:25" s="13" customFormat="1">
      <c r="B27" s="243"/>
      <c r="C27" s="243"/>
      <c r="D27" s="243"/>
      <c r="E27" s="243"/>
      <c r="F27" s="3807" t="s">
        <v>580</v>
      </c>
      <c r="G27" s="3807"/>
      <c r="I27" s="3808" t="s">
        <v>192</v>
      </c>
      <c r="J27" s="3808"/>
      <c r="K27" s="3808"/>
      <c r="L27" s="3808"/>
      <c r="M27" s="3808"/>
      <c r="O27" s="3794"/>
      <c r="P27" s="3795"/>
      <c r="Q27" s="3795"/>
      <c r="R27" s="3795"/>
      <c r="S27" s="3795"/>
      <c r="T27" s="3795"/>
      <c r="U27" s="3796"/>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4"/>
      <c r="P28" s="3795"/>
      <c r="Q28" s="3795"/>
      <c r="R28" s="3795"/>
      <c r="S28" s="3795"/>
      <c r="T28" s="3795"/>
      <c r="U28" s="3796"/>
    </row>
    <row r="29" spans="1:25" s="8" customFormat="1" ht="12" customHeight="1">
      <c r="B29" s="1346" t="s">
        <v>1766</v>
      </c>
      <c r="C29" s="1347"/>
      <c r="D29" s="3809" t="s">
        <v>1736</v>
      </c>
      <c r="E29" s="3810"/>
      <c r="F29" s="2839"/>
      <c r="G29" s="2839"/>
      <c r="H29" s="908"/>
      <c r="I29" s="2840"/>
      <c r="J29" s="2840"/>
      <c r="K29" s="2840"/>
      <c r="L29" s="2840"/>
      <c r="M29" s="2840"/>
      <c r="O29" s="3794"/>
      <c r="P29" s="3795"/>
      <c r="Q29" s="3795"/>
      <c r="R29" s="3795"/>
      <c r="S29" s="3795"/>
      <c r="T29" s="3795"/>
      <c r="U29" s="3796"/>
      <c r="V29" s="13"/>
      <c r="W29" s="13"/>
      <c r="X29" s="13"/>
      <c r="Y29" s="13"/>
    </row>
    <row r="30" spans="1:25" s="8" customFormat="1" ht="12" customHeight="1" thickBot="1">
      <c r="B30" s="1348" t="s">
        <v>1531</v>
      </c>
      <c r="C30" s="1349"/>
      <c r="D30" s="3811" t="s">
        <v>1736</v>
      </c>
      <c r="E30" s="3812"/>
      <c r="F30" s="2841"/>
      <c r="G30" s="2841"/>
      <c r="H30" s="907"/>
      <c r="I30" s="2842"/>
      <c r="J30" s="2842"/>
      <c r="K30" s="2842"/>
      <c r="L30" s="2843"/>
      <c r="M30" s="2843"/>
      <c r="O30" s="3797"/>
      <c r="P30" s="3798"/>
      <c r="Q30" s="3798"/>
      <c r="R30" s="3798"/>
      <c r="S30" s="3798"/>
      <c r="T30" s="3798"/>
      <c r="U30" s="3799"/>
    </row>
    <row r="31" spans="1:25" s="8" customFormat="1" ht="12" customHeight="1">
      <c r="B31" s="1350" t="s">
        <v>1532</v>
      </c>
      <c r="C31" s="1351"/>
      <c r="D31" s="3811" t="s">
        <v>1736</v>
      </c>
      <c r="E31" s="3812"/>
      <c r="F31" s="2841"/>
      <c r="G31" s="2841"/>
      <c r="H31" s="246"/>
      <c r="I31" s="2842"/>
      <c r="J31" s="2842"/>
      <c r="K31" s="2842"/>
      <c r="L31" s="2843"/>
      <c r="M31" s="2843"/>
      <c r="O31" s="3800" t="s">
        <v>3411</v>
      </c>
      <c r="P31" s="3800"/>
      <c r="Q31" s="3800"/>
    </row>
    <row r="32" spans="1:25" s="8" customFormat="1" ht="12" customHeight="1">
      <c r="B32" s="1352" t="s">
        <v>447</v>
      </c>
      <c r="C32" s="1353"/>
      <c r="D32" s="1352" t="s">
        <v>1530</v>
      </c>
      <c r="E32" s="247"/>
      <c r="F32" s="2841"/>
      <c r="G32" s="2841"/>
      <c r="H32" s="906"/>
      <c r="I32" s="2842"/>
      <c r="J32" s="2842"/>
      <c r="K32" s="2842"/>
      <c r="L32" s="2843"/>
      <c r="M32" s="2843"/>
      <c r="O32" s="3800"/>
      <c r="P32" s="3800"/>
      <c r="Q32" s="3800"/>
    </row>
    <row r="33" spans="1:19" s="8" customFormat="1" ht="12" customHeight="1">
      <c r="B33" s="1354" t="s">
        <v>3405</v>
      </c>
      <c r="C33" s="1349"/>
      <c r="D33" s="1348" t="s">
        <v>1530</v>
      </c>
      <c r="E33" s="905"/>
      <c r="F33" s="2841"/>
      <c r="G33" s="2841"/>
      <c r="H33" s="907"/>
      <c r="I33" s="2842"/>
      <c r="J33" s="2842"/>
      <c r="K33" s="2842"/>
      <c r="L33" s="2843"/>
      <c r="M33" s="2843"/>
      <c r="O33" s="3800"/>
      <c r="P33" s="3800"/>
      <c r="Q33" s="3800"/>
    </row>
    <row r="34" spans="1:19" s="8" customFormat="1" ht="12" customHeight="1">
      <c r="B34" s="1354" t="s">
        <v>3406</v>
      </c>
      <c r="C34" s="1349"/>
      <c r="D34" s="1348" t="s">
        <v>1530</v>
      </c>
      <c r="E34" s="905"/>
      <c r="F34" s="2841"/>
      <c r="G34" s="2841"/>
      <c r="H34" s="907"/>
      <c r="I34" s="2842"/>
      <c r="J34" s="2842"/>
      <c r="K34" s="2842"/>
      <c r="L34" s="2843"/>
      <c r="M34" s="2843"/>
      <c r="O34" s="3800"/>
      <c r="P34" s="3800"/>
      <c r="Q34" s="3800"/>
    </row>
    <row r="35" spans="1:19" s="8" customFormat="1" ht="12" customHeight="1">
      <c r="B35" s="1355" t="s">
        <v>3407</v>
      </c>
      <c r="C35" s="1351"/>
      <c r="D35" s="1350" t="s">
        <v>1530</v>
      </c>
      <c r="E35" s="905"/>
      <c r="F35" s="2841"/>
      <c r="G35" s="2841"/>
      <c r="H35" s="246"/>
      <c r="I35" s="2842"/>
      <c r="J35" s="2842"/>
      <c r="K35" s="2842"/>
      <c r="L35" s="2843"/>
      <c r="M35" s="2843"/>
      <c r="O35" s="3800"/>
      <c r="P35" s="3800"/>
      <c r="Q35" s="3800"/>
    </row>
    <row r="36" spans="1:19" s="8" customFormat="1" ht="12" customHeight="1">
      <c r="B36" s="1352" t="s">
        <v>1321</v>
      </c>
      <c r="C36" s="1353"/>
      <c r="D36" s="1358" t="s">
        <v>3197</v>
      </c>
      <c r="E36" s="2844" t="s">
        <v>193</v>
      </c>
      <c r="F36" s="2841"/>
      <c r="G36" s="2841"/>
      <c r="H36" s="906"/>
      <c r="I36" s="2842"/>
      <c r="J36" s="2842"/>
      <c r="K36" s="2842"/>
      <c r="L36" s="2843"/>
      <c r="M36" s="2843"/>
      <c r="O36" s="3800"/>
      <c r="P36" s="3800"/>
      <c r="Q36" s="3800"/>
    </row>
    <row r="37" spans="1:19" s="8" customFormat="1" ht="12" customHeight="1">
      <c r="B37" s="1356" t="s">
        <v>1765</v>
      </c>
      <c r="C37" s="1357"/>
      <c r="D37" s="248"/>
      <c r="E37" s="220"/>
      <c r="F37" s="2841"/>
      <c r="G37" s="2841"/>
      <c r="H37" s="907"/>
      <c r="I37" s="2842"/>
      <c r="J37" s="2842"/>
      <c r="K37" s="2842"/>
      <c r="L37" s="2843"/>
      <c r="M37" s="2843"/>
      <c r="O37" s="3800"/>
      <c r="P37" s="3800"/>
      <c r="Q37" s="3800"/>
    </row>
    <row r="38" spans="1:19" s="8" customFormat="1" ht="12" customHeight="1">
      <c r="B38" s="1356" t="s">
        <v>711</v>
      </c>
      <c r="C38" s="3813"/>
      <c r="D38" s="3814"/>
      <c r="E38" s="3815"/>
      <c r="F38" s="2845"/>
      <c r="G38" s="2845"/>
      <c r="H38" s="909"/>
      <c r="I38" s="2846"/>
      <c r="J38" s="2846"/>
      <c r="K38" s="2846"/>
      <c r="L38" s="2847"/>
      <c r="M38" s="2847"/>
      <c r="O38" s="3800"/>
      <c r="P38" s="3800"/>
      <c r="Q38" s="3800"/>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0"/>
      <c r="P39" s="3800"/>
      <c r="Q39" s="3800"/>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1" t="s">
        <v>6858</v>
      </c>
      <c r="C43" s="3802"/>
      <c r="D43" s="3802"/>
      <c r="E43" s="3802"/>
      <c r="F43" s="3802"/>
      <c r="G43" s="3802"/>
      <c r="H43" s="3802"/>
      <c r="I43" s="3802"/>
      <c r="J43" s="3802"/>
      <c r="K43" s="3802"/>
      <c r="L43" s="3802"/>
      <c r="M43" s="3803"/>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04"/>
      <c r="C46" s="3805"/>
      <c r="D46" s="3805"/>
      <c r="E46" s="3805"/>
      <c r="F46" s="3805"/>
      <c r="G46" s="3805"/>
      <c r="H46" s="3805"/>
      <c r="I46" s="3805"/>
      <c r="J46" s="3805"/>
      <c r="K46" s="3805"/>
      <c r="L46" s="3805"/>
      <c r="M46" s="3806"/>
      <c r="N46" s="27"/>
      <c r="O46" s="3132"/>
      <c r="P46" s="3132"/>
      <c r="Q46" s="3132"/>
      <c r="R46" s="3132"/>
      <c r="S46" s="3132"/>
    </row>
  </sheetData>
  <sheetProtection algorithmName="SHA-512" hashValue="Klz6QiMLbQ5/MJ0ahFVFwjYMtLueDCJwcqNsH583pz4TKEka3tUkX8QBelbiQ3PH3uZCIFo/IvMKVIHcZkmYHg==" saltValue="N4z+RpjkK2wktySXr4rm/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61" priority="8" operator="equal">
      <formula>"""&lt;&lt;Select Fuel &gt;&gt;"""</formula>
    </cfRule>
  </conditionalFormatting>
  <conditionalFormatting sqref="I22:M22">
    <cfRule type="cellIs" dxfId="60" priority="6" operator="equal">
      <formula>"Select Fuel"</formula>
    </cfRule>
    <cfRule type="cellIs" dxfId="59" priority="7" operator="equal">
      <formula>"&lt;&lt;Select Fuel &gt;&gt;"</formula>
    </cfRule>
  </conditionalFormatting>
  <conditionalFormatting sqref="J22:M22">
    <cfRule type="cellIs" dxfId="58" priority="5" operator="equal">
      <formula>"Select Fuel"</formula>
    </cfRule>
  </conditionalFormatting>
  <conditionalFormatting sqref="I39:M39">
    <cfRule type="cellIs" dxfId="57" priority="2" operator="equal">
      <formula>"Select Fuel"</formula>
    </cfRule>
    <cfRule type="cellIs" dxfId="56" priority="3" operator="equal">
      <formula>"&lt;&lt;Select Fuel &gt;&gt;"</formula>
    </cfRule>
  </conditionalFormatting>
  <conditionalFormatting sqref="J39:M39">
    <cfRule type="cellIs" dxfId="5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5796A9-CA52-4634-9CCE-87DE4358BEE7}">
  <ds:schemaRefs>
    <ds:schemaRef ds:uri="http://schemas.microsoft.com/sharepoint/v3/contenttype/forms"/>
  </ds:schemaRefs>
</ds:datastoreItem>
</file>

<file path=customXml/itemProps2.xml><?xml version="1.0" encoding="utf-8"?>
<ds:datastoreItem xmlns:ds="http://schemas.openxmlformats.org/officeDocument/2006/customXml" ds:itemID="{F6EC8C4B-D8FE-477A-B8CB-C7776A949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D27B5C-B3FD-491D-9D19-F987BDD33530}">
  <ds:schemaRef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2021-05-17T20:44:52Z</cp:lastPrinted>
  <dcterms:created xsi:type="dcterms:W3CDTF">2005-09-15T20:51:37Z</dcterms:created>
  <dcterms:modified xsi:type="dcterms:W3CDTF">2021-10-07T16:30:38Z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