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007D813-904F-44D1-85DD-00112EFC6265}" xr6:coauthVersionLast="45" xr6:coauthVersionMax="45" xr10:uidLastSave="{00000000-0000-0000-0000-000000000000}"/>
  <workbookProtection workbookAlgorithmName="SHA-512" workbookHashValue="IlJLm6Mkivf28RbKkdblimVr6wkrR0oL00L3cZBI+dyUx1w0wzWN4a5R3ORMsiKEWv05YFO18AvPHgdQE3DuwQ==" workbookSaltValue="J8ZzstDLjHuu7p76BDijfA==" workbookSpinCount="100000" lockStructure="1"/>
  <bookViews>
    <workbookView xWindow="3180" yWindow="4905" windowWidth="24885"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S64" i="78" l="1"/>
  <c r="P1988" i="97"/>
  <c r="P1817" i="97"/>
  <c r="P1884" i="97"/>
  <c r="P1976" i="97"/>
  <c r="P1980" i="97"/>
  <c r="P1982" i="97"/>
  <c r="P2071" i="97"/>
  <c r="O2071" i="97"/>
  <c r="O2069" i="97"/>
  <c r="P2069" i="97"/>
  <c r="O2114" i="97"/>
  <c r="P2049" i="97"/>
  <c r="P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3" i="97"/>
  <c r="E1745"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M1303" i="97"/>
  <c r="F1307" i="97"/>
  <c r="H1302" i="97"/>
  <c r="I1302" i="97"/>
  <c r="H1304" i="97"/>
  <c r="I1304" i="97"/>
  <c r="M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A3"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O2055" i="97" s="1"/>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866" i="97" s="1"/>
  <c r="L866" i="97" s="1"/>
  <c r="M866" i="97" s="1"/>
  <c r="K22" i="76"/>
  <c r="J19" i="75" s="1"/>
  <c r="J859" i="97" s="1"/>
  <c r="L859" i="97" s="1"/>
  <c r="M859" i="97" s="1"/>
  <c r="J22" i="76"/>
  <c r="J24" i="75" s="1"/>
  <c r="J864" i="97" s="1"/>
  <c r="L864" i="97" s="1"/>
  <c r="M864"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J22" i="75" l="1"/>
  <c r="J862" i="97" s="1"/>
  <c r="L862" i="97" s="1"/>
  <c r="M862" i="97" s="1"/>
  <c r="J25" i="75"/>
  <c r="J865" i="97" s="1"/>
  <c r="L865" i="97" s="1"/>
  <c r="M865" i="97" s="1"/>
  <c r="J18" i="75"/>
  <c r="J858" i="97" s="1"/>
  <c r="L858" i="97" s="1"/>
  <c r="M858" i="97" s="1"/>
  <c r="J32" i="74"/>
  <c r="K32" i="74"/>
  <c r="I32" i="74"/>
  <c r="D56" i="86"/>
  <c r="L1980" i="97"/>
  <c r="Q1980" i="97"/>
  <c r="O2049" i="97"/>
  <c r="A963" i="97"/>
  <c r="P479" i="97"/>
  <c r="K1122" i="97"/>
  <c r="D1122" i="97"/>
  <c r="C1122" i="97"/>
  <c r="J1186" i="97"/>
  <c r="H1154" i="97"/>
  <c r="G1186" i="97"/>
  <c r="F1186" i="97"/>
  <c r="H1186" i="97"/>
  <c r="N65" i="97"/>
  <c r="O65" i="97"/>
  <c r="P844" i="97"/>
  <c r="B40" i="74"/>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G51" i="86"/>
  <c r="C52" i="86"/>
  <c r="I31" i="86"/>
  <c r="G52" i="86"/>
  <c r="D51" i="86"/>
  <c r="H51" i="86"/>
  <c r="F64" i="74"/>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B1128" i="97" l="1"/>
  <c r="R1117" i="97" s="1"/>
  <c r="B44" i="74"/>
  <c r="B1140" i="97" s="1"/>
  <c r="E1160" i="97"/>
  <c r="F1160" i="97"/>
  <c r="D1160" i="97"/>
  <c r="B1160" i="97"/>
  <c r="C1160" i="97"/>
  <c r="C1128" i="97"/>
  <c r="C10" i="86"/>
  <c r="B1136" i="97"/>
  <c r="D10" i="86"/>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E13" i="87"/>
  <c r="E38" i="87"/>
  <c r="J45" i="82"/>
  <c r="E18" i="87"/>
  <c r="E22" i="87"/>
  <c r="K35" i="74"/>
  <c r="K1131" i="97" s="1"/>
  <c r="E19" i="87"/>
  <c r="E37" i="87"/>
  <c r="E14" i="87"/>
  <c r="E11" i="87"/>
  <c r="E36" i="87"/>
  <c r="E26" i="87"/>
  <c r="E27" i="87"/>
  <c r="E30" i="87"/>
  <c r="E28" i="87"/>
  <c r="E32" i="87"/>
  <c r="E33" i="87"/>
  <c r="E20" i="87"/>
  <c r="E34" i="87"/>
  <c r="E128" i="74"/>
  <c r="E1224" i="97" s="1"/>
  <c r="E43" i="87"/>
  <c r="E44" i="87"/>
  <c r="F65" i="82"/>
  <c r="E24" i="87"/>
  <c r="G98" i="74"/>
  <c r="G1194" i="97" s="1"/>
  <c r="E35" i="87"/>
  <c r="E40" i="87"/>
  <c r="E42" i="87"/>
  <c r="E17" i="87"/>
  <c r="E31" i="87"/>
  <c r="E15" i="87"/>
  <c r="G65" i="82"/>
  <c r="E25" i="87"/>
  <c r="E10" i="87"/>
  <c r="E23" i="87"/>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H34" i="86"/>
  <c r="P97" i="75"/>
  <c r="K100" i="75"/>
  <c r="P137" i="75"/>
  <c r="K148" i="75"/>
  <c r="K1281" i="97" s="1"/>
  <c r="P105" i="75"/>
  <c r="I55" i="84"/>
  <c r="E55" i="84"/>
  <c r="K55" i="84"/>
  <c r="G55" i="84"/>
  <c r="P104" i="75"/>
  <c r="K111" i="75"/>
  <c r="Q238" i="75"/>
  <c r="P238" i="75"/>
  <c r="R21" i="74"/>
  <c r="C14" i="86"/>
  <c r="R22" i="74"/>
  <c r="K164" i="75"/>
  <c r="P159" i="75"/>
  <c r="M100" i="75"/>
  <c r="C54" i="86"/>
  <c r="P94" i="75"/>
  <c r="P120" i="75"/>
  <c r="K121" i="75"/>
  <c r="D24" i="74"/>
  <c r="E14" i="74"/>
  <c r="P138" i="75"/>
  <c r="M147" i="75"/>
  <c r="F1283" i="97" s="1"/>
  <c r="P136" i="75"/>
  <c r="O164" i="75"/>
  <c r="O166" i="75" s="1"/>
  <c r="O168" i="75" s="1"/>
  <c r="P108" i="75"/>
  <c r="P93" i="75"/>
  <c r="J164" i="78"/>
  <c r="J166" i="78" s="1"/>
  <c r="E3" i="86"/>
  <c r="B4" i="82"/>
  <c r="C18" i="84"/>
  <c r="I61" i="68"/>
  <c r="P139" i="75"/>
  <c r="P114" i="75"/>
  <c r="R1118" i="97" l="1"/>
  <c r="C44" i="74"/>
  <c r="E31" i="74"/>
  <c r="E1127" i="97" s="1"/>
  <c r="D1127" i="97"/>
  <c r="J28" i="95"/>
  <c r="J26" i="95"/>
  <c r="J30" i="95"/>
  <c r="J25" i="95"/>
  <c r="J29" i="95"/>
  <c r="J31"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N1304" i="97" s="1"/>
  <c r="G51" i="73"/>
  <c r="G1291" i="97" s="1"/>
  <c r="L1291" i="97" s="1"/>
  <c r="G50" i="73"/>
  <c r="G1290" i="97" s="1"/>
  <c r="L1290" i="97" s="1"/>
  <c r="G48" i="73"/>
  <c r="G1288" i="97" s="1"/>
  <c r="L1288" i="97" s="1"/>
  <c r="G63" i="73"/>
  <c r="G1303" i="97" s="1"/>
  <c r="L1303" i="97" s="1"/>
  <c r="N1303" i="97" s="1"/>
  <c r="N1307" i="97" s="1"/>
  <c r="G44" i="73"/>
  <c r="G1284" i="97" s="1"/>
  <c r="L1284" i="97" s="1"/>
  <c r="G66" i="73"/>
  <c r="G1306" i="97" s="1"/>
  <c r="L1306" i="97" s="1"/>
  <c r="G65" i="73"/>
  <c r="G1305" i="97" s="1"/>
  <c r="L1305" i="97" s="1"/>
  <c r="N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51" i="73"/>
  <c r="M51" i="73"/>
  <c r="M64" i="73"/>
  <c r="N48" i="73"/>
  <c r="M48" i="73"/>
  <c r="D22" i="86"/>
  <c r="P164" i="75"/>
  <c r="P62" i="66" s="1"/>
  <c r="P86" i="97" s="1"/>
  <c r="K166" i="75"/>
  <c r="P148" i="75"/>
  <c r="K41" i="73"/>
  <c r="P51" i="68"/>
  <c r="P52" i="68"/>
  <c r="I62" i="68"/>
  <c r="P47" i="68" s="1"/>
  <c r="P481" i="97" s="1"/>
  <c r="D18" i="84"/>
  <c r="K40" i="84"/>
  <c r="C38" i="84"/>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4" i="86" l="1"/>
  <c r="R23" i="74"/>
  <c r="D1128" i="97"/>
  <c r="C1140" i="97"/>
  <c r="D44" i="74"/>
  <c r="K59" i="73"/>
  <c r="H44" i="73"/>
  <c r="F10" i="86"/>
  <c r="E1136" i="97"/>
  <c r="M44" i="73"/>
  <c r="M42" i="73"/>
  <c r="K73" i="75"/>
  <c r="K85" i="75"/>
  <c r="K88" i="75"/>
  <c r="K79" i="75"/>
  <c r="K70" i="75"/>
  <c r="K76" i="75"/>
  <c r="K82"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I66" i="73"/>
  <c r="M43" i="73"/>
  <c r="I52" i="73"/>
  <c r="M45" i="73"/>
  <c r="L43" i="73"/>
  <c r="L51" i="73"/>
  <c r="L52" i="73"/>
  <c r="L50" i="73"/>
  <c r="L64" i="73"/>
  <c r="N64" i="73" s="1"/>
  <c r="L65" i="73"/>
  <c r="N65" i="73" s="1"/>
  <c r="L66" i="73"/>
  <c r="L49" i="73"/>
  <c r="L56" i="73"/>
  <c r="L59" i="73"/>
  <c r="L44" i="73"/>
  <c r="L57" i="73"/>
  <c r="L62" i="73"/>
  <c r="L42" i="73"/>
  <c r="L63" i="73"/>
  <c r="N63" i="73" s="1"/>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E1128" i="97" l="1"/>
  <c r="R1120" i="97" s="1"/>
  <c r="F14" i="86"/>
  <c r="R1119" i="97"/>
  <c r="R24" i="74"/>
  <c r="D1140" i="97"/>
  <c r="E44" i="74"/>
  <c r="P176" i="75"/>
  <c r="G10" i="86"/>
  <c r="F1136" i="97"/>
  <c r="H57" i="73"/>
  <c r="H58" i="73"/>
  <c r="N56" i="73"/>
  <c r="O342" i="72"/>
  <c r="M85" i="75"/>
  <c r="M73" i="75"/>
  <c r="M79" i="75"/>
  <c r="M76" i="75"/>
  <c r="M88" i="75"/>
  <c r="M82" i="75"/>
  <c r="M70" i="75"/>
  <c r="O76" i="75"/>
  <c r="O79" i="75"/>
  <c r="O85" i="75"/>
  <c r="O82" i="75"/>
  <c r="O73" i="75"/>
  <c r="O88" i="75"/>
  <c r="O70" i="75"/>
  <c r="L85" i="75"/>
  <c r="L76" i="75"/>
  <c r="L70" i="75"/>
  <c r="L73" i="75"/>
  <c r="L82" i="75"/>
  <c r="L79" i="75"/>
  <c r="L88" i="75"/>
  <c r="N82" i="75"/>
  <c r="N70" i="75"/>
  <c r="N79" i="75"/>
  <c r="N73" i="75"/>
  <c r="N76" i="75"/>
  <c r="N88" i="75"/>
  <c r="N85" i="75"/>
  <c r="F15" i="74"/>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5" i="74"/>
  <c r="P167" i="78"/>
  <c r="P168" i="78" s="1"/>
  <c r="P170" i="78" s="1"/>
  <c r="I53" i="73"/>
  <c r="H21" i="86"/>
  <c r="G22" i="86"/>
  <c r="F1128" i="97" l="1"/>
  <c r="R1121" i="97" s="1"/>
  <c r="G14" i="86"/>
  <c r="R25" i="74"/>
  <c r="E1140" i="97"/>
  <c r="F44" i="74"/>
  <c r="C1111" i="97"/>
  <c r="D1111" i="97"/>
  <c r="G1111" i="97"/>
  <c r="E1111" i="97"/>
  <c r="F1111" i="97"/>
  <c r="H10" i="86"/>
  <c r="G1136" i="97"/>
  <c r="N60" i="73"/>
  <c r="Q1072" i="97"/>
  <c r="N1072" i="97"/>
  <c r="Q232" i="75"/>
  <c r="C66" i="84"/>
  <c r="I66" i="84" s="1"/>
  <c r="N232" i="75"/>
  <c r="E174" i="90"/>
  <c r="E175" i="90" s="1"/>
  <c r="H66" i="66"/>
  <c r="H90" i="97" s="1"/>
  <c r="S696" i="97"/>
  <c r="M1762" i="97"/>
  <c r="L330" i="72"/>
  <c r="K220" i="72"/>
  <c r="L98" i="72"/>
  <c r="L108" i="72"/>
  <c r="P79" i="75"/>
  <c r="P82" i="75"/>
  <c r="P73" i="75"/>
  <c r="P88" i="75"/>
  <c r="P85" i="75"/>
  <c r="P76" i="75"/>
  <c r="P70" i="75"/>
  <c r="G16" i="74"/>
  <c r="G1112" i="97" s="1"/>
  <c r="B1112" i="97"/>
  <c r="J674" i="97"/>
  <c r="I60" i="73"/>
  <c r="H69" i="73" s="1"/>
  <c r="N1300" i="97"/>
  <c r="M1309" i="97" s="1"/>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H24" i="74"/>
  <c r="I14" i="74"/>
  <c r="H16" i="74"/>
  <c r="H1112" i="97" s="1"/>
  <c r="H15" i="74"/>
  <c r="I21" i="86"/>
  <c r="I22" i="86" s="1"/>
  <c r="H22" i="86"/>
  <c r="P63" i="73" l="1"/>
  <c r="J682" i="97" s="1"/>
  <c r="M681" i="97" s="1"/>
  <c r="R26" i="74"/>
  <c r="H14" i="86"/>
  <c r="G1128" i="97"/>
  <c r="R1122" i="97" s="1"/>
  <c r="F1140" i="97"/>
  <c r="G44" i="74"/>
  <c r="B1118" i="97"/>
  <c r="Q217" i="75"/>
  <c r="H1111" i="97"/>
  <c r="I10" i="86"/>
  <c r="H1136" i="97"/>
  <c r="E23" i="74"/>
  <c r="I31" i="74"/>
  <c r="I1127" i="97" s="1"/>
  <c r="H1127" i="97"/>
  <c r="H53" i="82"/>
  <c r="F23" i="74"/>
  <c r="G66" i="84"/>
  <c r="E66" i="84"/>
  <c r="K66" i="84"/>
  <c r="H23" i="74"/>
  <c r="H1119" i="97" s="1"/>
  <c r="B1119" i="97"/>
  <c r="P83" i="75"/>
  <c r="P84" i="75" s="1"/>
  <c r="L83" i="75"/>
  <c r="L84" i="75" s="1"/>
  <c r="K83" i="75"/>
  <c r="K84" i="75" s="1"/>
  <c r="N83" i="75"/>
  <c r="N84" i="75" s="1"/>
  <c r="M83" i="75"/>
  <c r="O83" i="75"/>
  <c r="O84" i="75" s="1"/>
  <c r="P80" i="75"/>
  <c r="P81" i="75" s="1"/>
  <c r="L80" i="75"/>
  <c r="L81" i="75" s="1"/>
  <c r="O80" i="75"/>
  <c r="O81" i="75" s="1"/>
  <c r="N80" i="75"/>
  <c r="N81" i="75" s="1"/>
  <c r="M80" i="75"/>
  <c r="M81" i="75" s="1"/>
  <c r="K80" i="75"/>
  <c r="K81" i="75" s="1"/>
  <c r="P71" i="75"/>
  <c r="O71" i="75"/>
  <c r="O72" i="75" s="1"/>
  <c r="N71" i="75"/>
  <c r="N72" i="75" s="1"/>
  <c r="M71" i="75"/>
  <c r="M72" i="75" s="1"/>
  <c r="L71" i="75"/>
  <c r="L72" i="75" s="1"/>
  <c r="K71" i="75"/>
  <c r="K72" i="75" s="1"/>
  <c r="P77" i="75"/>
  <c r="P78" i="75" s="1"/>
  <c r="O77" i="75"/>
  <c r="O78" i="75" s="1"/>
  <c r="M77" i="75"/>
  <c r="L77" i="75"/>
  <c r="L78" i="75" s="1"/>
  <c r="N77" i="75"/>
  <c r="N78" i="75" s="1"/>
  <c r="K77" i="75"/>
  <c r="K78" i="75" s="1"/>
  <c r="N86" i="75"/>
  <c r="N87" i="75" s="1"/>
  <c r="P86" i="75"/>
  <c r="P87" i="75" s="1"/>
  <c r="M86" i="75"/>
  <c r="M87" i="75" s="1"/>
  <c r="L86" i="75"/>
  <c r="L87" i="75" s="1"/>
  <c r="O86" i="75"/>
  <c r="K86" i="75"/>
  <c r="K87" i="75" s="1"/>
  <c r="P89" i="75"/>
  <c r="P90" i="75" s="1"/>
  <c r="L89" i="75"/>
  <c r="L90" i="75" s="1"/>
  <c r="M89" i="75"/>
  <c r="M90" i="75" s="1"/>
  <c r="K89" i="75"/>
  <c r="K90" i="75" s="1"/>
  <c r="N89" i="75"/>
  <c r="N90" i="75" s="1"/>
  <c r="O89" i="75"/>
  <c r="O90" i="75" s="1"/>
  <c r="L1803" i="97"/>
  <c r="L1817" i="97"/>
  <c r="L1827" i="97"/>
  <c r="M2120" i="97"/>
  <c r="P74" i="75"/>
  <c r="P75" i="75" s="1"/>
  <c r="M74" i="75"/>
  <c r="M75" i="75" s="1"/>
  <c r="K74" i="75"/>
  <c r="K75" i="75" s="1"/>
  <c r="N74" i="75"/>
  <c r="N75" i="75" s="1"/>
  <c r="O74" i="75"/>
  <c r="L74" i="75"/>
  <c r="L75" i="75" s="1"/>
  <c r="G17" i="74"/>
  <c r="G1113" i="97" s="1"/>
  <c r="B20" i="74"/>
  <c r="B1116" i="97" s="1"/>
  <c r="B1113" i="97"/>
  <c r="I23" i="74"/>
  <c r="I1119" i="97" s="1"/>
  <c r="C23" i="74"/>
  <c r="C13" i="86"/>
  <c r="D23" i="74"/>
  <c r="G23" i="74"/>
  <c r="AF625" i="97"/>
  <c r="M2037" i="97"/>
  <c r="J2037" i="97"/>
  <c r="J2038" i="97" s="1"/>
  <c r="AF628" i="97"/>
  <c r="G651" i="97"/>
  <c r="P551" i="97"/>
  <c r="P560" i="97"/>
  <c r="P57" i="78"/>
  <c r="G148" i="78"/>
  <c r="K13" i="84"/>
  <c r="M318" i="72"/>
  <c r="M319" i="72" s="1"/>
  <c r="G54" i="78"/>
  <c r="F52" i="89"/>
  <c r="A9" i="83"/>
  <c r="I56" i="84"/>
  <c r="I64" i="84" s="1"/>
  <c r="I40" i="74"/>
  <c r="C17" i="74"/>
  <c r="C1113" i="97" s="1"/>
  <c r="C54" i="84"/>
  <c r="C56" i="84" s="1"/>
  <c r="C64" i="84" s="1"/>
  <c r="K6" i="74"/>
  <c r="L4" i="95"/>
  <c r="K8" i="74"/>
  <c r="J4" i="91"/>
  <c r="D17" i="74"/>
  <c r="K53" i="84"/>
  <c r="K54" i="84" s="1"/>
  <c r="K56" i="84" s="1"/>
  <c r="K64" i="84" s="1"/>
  <c r="G53" i="84"/>
  <c r="G54" i="84" s="1"/>
  <c r="E17" i="74"/>
  <c r="E1113" i="97" s="1"/>
  <c r="E53" i="84"/>
  <c r="E54" i="84" s="1"/>
  <c r="E56" i="84" s="1"/>
  <c r="E64" i="84" s="1"/>
  <c r="O92" i="72"/>
  <c r="O1811" i="97" s="1"/>
  <c r="F17" i="74"/>
  <c r="F1113" i="97" s="1"/>
  <c r="P92" i="72"/>
  <c r="P1811" i="97" s="1"/>
  <c r="O87" i="75"/>
  <c r="O75" i="75"/>
  <c r="M78" i="75"/>
  <c r="M84" i="75"/>
  <c r="AF125" i="78"/>
  <c r="P72" i="75"/>
  <c r="H19" i="84"/>
  <c r="AF122" i="78"/>
  <c r="D17" i="83"/>
  <c r="C19" i="84"/>
  <c r="F16" i="85"/>
  <c r="J179" i="78"/>
  <c r="M178" i="78" s="1"/>
  <c r="H17" i="74"/>
  <c r="H1113" i="97" s="1"/>
  <c r="I53" i="82"/>
  <c r="J31" i="74"/>
  <c r="J1127" i="97" s="1"/>
  <c r="I24" i="74"/>
  <c r="J14" i="74"/>
  <c r="I16" i="74"/>
  <c r="I1112" i="97" s="1"/>
  <c r="I15" i="74"/>
  <c r="F13" i="86"/>
  <c r="R27" i="74" l="1"/>
  <c r="I14" i="86"/>
  <c r="H1128" i="97"/>
  <c r="G1140" i="97"/>
  <c r="H44" i="74"/>
  <c r="F22" i="74"/>
  <c r="F1118" i="97" s="1"/>
  <c r="C22" i="74"/>
  <c r="C1118" i="97" s="1"/>
  <c r="I1111" i="97"/>
  <c r="H22" i="74"/>
  <c r="H1118" i="97" s="1"/>
  <c r="G22" i="74"/>
  <c r="G1118" i="97" s="1"/>
  <c r="D1113" i="97"/>
  <c r="D22" i="74"/>
  <c r="D1118" i="97" s="1"/>
  <c r="Q1057" i="97"/>
  <c r="Q225" i="75"/>
  <c r="C68" i="84"/>
  <c r="O219" i="75"/>
  <c r="O218" i="75"/>
  <c r="G20" i="74"/>
  <c r="G1116" i="97" s="1"/>
  <c r="E22" i="74"/>
  <c r="E1118" i="97" s="1"/>
  <c r="C30" i="86"/>
  <c r="I1136" i="97"/>
  <c r="C1119" i="97"/>
  <c r="D1119" i="97"/>
  <c r="F1119" i="97"/>
  <c r="G1119" i="97"/>
  <c r="E1119" i="97"/>
  <c r="G13" i="86"/>
  <c r="I13" i="86"/>
  <c r="E13" i="86"/>
  <c r="C20" i="74"/>
  <c r="C1116" i="97" s="1"/>
  <c r="D13" i="86"/>
  <c r="C33" i="86"/>
  <c r="H13" i="86"/>
  <c r="C20" i="84"/>
  <c r="H20" i="84"/>
  <c r="J40" i="74"/>
  <c r="E127" i="78"/>
  <c r="A127" i="78" s="1"/>
  <c r="O84" i="72"/>
  <c r="O1803" i="97" s="1"/>
  <c r="E20" i="74"/>
  <c r="E1116" i="97" s="1"/>
  <c r="D20" i="74"/>
  <c r="D1116" i="97" s="1"/>
  <c r="G56" i="84"/>
  <c r="G64" i="84" s="1"/>
  <c r="F20" i="74"/>
  <c r="F1116" i="97" s="1"/>
  <c r="P84" i="72"/>
  <c r="P1803" i="97" s="1"/>
  <c r="P2120" i="97" s="1"/>
  <c r="P1725" i="97" s="1"/>
  <c r="J685" i="97"/>
  <c r="J687" i="97" s="1"/>
  <c r="J689" i="97" s="1"/>
  <c r="J692" i="97" s="1"/>
  <c r="K31" i="74"/>
  <c r="K1127" i="97" s="1"/>
  <c r="J53" i="82"/>
  <c r="K14" i="74"/>
  <c r="J24" i="74"/>
  <c r="J15" i="74"/>
  <c r="J16" i="74"/>
  <c r="J1112" i="97" s="1"/>
  <c r="J23" i="74"/>
  <c r="J1119" i="97" s="1"/>
  <c r="I17" i="74"/>
  <c r="I1113" i="97" s="1"/>
  <c r="H20" i="74"/>
  <c r="H1116" i="97" s="1"/>
  <c r="R1123" i="97" l="1"/>
  <c r="C34" i="86"/>
  <c r="I1128" i="97"/>
  <c r="R1124" i="97" s="1"/>
  <c r="R28" i="74"/>
  <c r="H1140" i="97"/>
  <c r="I44" i="74"/>
  <c r="K68" i="84"/>
  <c r="K70" i="84" s="1"/>
  <c r="G68" i="84"/>
  <c r="G70" i="84" s="1"/>
  <c r="G76" i="84" s="1"/>
  <c r="G73" i="84" s="1"/>
  <c r="E68" i="84"/>
  <c r="E70" i="84" s="1"/>
  <c r="I68" i="84"/>
  <c r="I70" i="84" s="1"/>
  <c r="F634" i="97"/>
  <c r="F130" i="78"/>
  <c r="B21" i="74"/>
  <c r="K21" i="74" s="1"/>
  <c r="F633" i="97"/>
  <c r="F131" i="78"/>
  <c r="Q244" i="75"/>
  <c r="P226" i="75"/>
  <c r="N225" i="75"/>
  <c r="I22" i="74"/>
  <c r="Q1065" i="97"/>
  <c r="O1059" i="97"/>
  <c r="O1058" i="97"/>
  <c r="J1111" i="97"/>
  <c r="C70" i="84"/>
  <c r="D30" i="86"/>
  <c r="J1136" i="97"/>
  <c r="K40" i="74"/>
  <c r="J184" i="78"/>
  <c r="J186" i="78" s="1"/>
  <c r="I20" i="74"/>
  <c r="I1116" i="97" s="1"/>
  <c r="K24" i="74"/>
  <c r="B46" i="74"/>
  <c r="K15" i="74"/>
  <c r="K16" i="74"/>
  <c r="K1112" i="97" s="1"/>
  <c r="K23" i="74"/>
  <c r="K1119" i="97" s="1"/>
  <c r="D33" i="86"/>
  <c r="B63" i="74"/>
  <c r="B1159" i="97" s="1"/>
  <c r="K53" i="82"/>
  <c r="J17" i="74"/>
  <c r="J1113" i="97" s="1"/>
  <c r="J1128" i="97" l="1"/>
  <c r="D34" i="86"/>
  <c r="R29" i="74"/>
  <c r="I1140" i="97"/>
  <c r="J44" i="74"/>
  <c r="P1066" i="97"/>
  <c r="N1065" i="97"/>
  <c r="Q1084" i="97"/>
  <c r="D21" i="74"/>
  <c r="F21" i="74"/>
  <c r="B1117" i="97"/>
  <c r="C21" i="74"/>
  <c r="E21" i="74"/>
  <c r="G21" i="74"/>
  <c r="H21" i="74"/>
  <c r="I21" i="74"/>
  <c r="I1117" i="97" s="1"/>
  <c r="B39" i="74"/>
  <c r="B1135" i="97" s="1"/>
  <c r="B25" i="74"/>
  <c r="J21" i="74"/>
  <c r="J1117" i="97" s="1"/>
  <c r="C72" i="84"/>
  <c r="C76" i="84"/>
  <c r="C73" i="84" s="1"/>
  <c r="I76" i="84"/>
  <c r="I73" i="84" s="1"/>
  <c r="I72" i="84"/>
  <c r="I1118" i="97"/>
  <c r="K1111" i="97"/>
  <c r="J22" i="74"/>
  <c r="E76" i="84"/>
  <c r="E73" i="84" s="1"/>
  <c r="E72" i="84"/>
  <c r="G72" i="84"/>
  <c r="K72" i="84"/>
  <c r="K76" i="84"/>
  <c r="K73" i="84" s="1"/>
  <c r="E30" i="86"/>
  <c r="K1136" i="97"/>
  <c r="K1117" i="97"/>
  <c r="B15" i="82"/>
  <c r="J189" i="78"/>
  <c r="M195" i="78" s="1"/>
  <c r="B72" i="74"/>
  <c r="J20" i="74"/>
  <c r="J1116" i="97" s="1"/>
  <c r="K17" i="74"/>
  <c r="K1113" i="97" s="1"/>
  <c r="C46" i="74"/>
  <c r="B56" i="74"/>
  <c r="B48" i="74"/>
  <c r="B1144" i="97" s="1"/>
  <c r="B47" i="74"/>
  <c r="B53" i="74"/>
  <c r="B55" i="74"/>
  <c r="B1151" i="97" s="1"/>
  <c r="C63" i="74"/>
  <c r="C1159" i="97" s="1"/>
  <c r="B73" i="82"/>
  <c r="E33" i="86"/>
  <c r="K22" i="74" l="1"/>
  <c r="K1118" i="97" s="1"/>
  <c r="I39" i="74"/>
  <c r="I1135" i="97" s="1"/>
  <c r="K1128" i="97"/>
  <c r="R1132" i="97" s="1"/>
  <c r="E34" i="86"/>
  <c r="R40" i="74"/>
  <c r="R30" i="74"/>
  <c r="R36" i="74"/>
  <c r="R31" i="74"/>
  <c r="R39" i="74"/>
  <c r="R38" i="74"/>
  <c r="R35" i="74"/>
  <c r="I47" i="68" s="1"/>
  <c r="I481" i="97" s="1"/>
  <c r="R32" i="74"/>
  <c r="R33" i="74"/>
  <c r="R37" i="74"/>
  <c r="R34" i="74"/>
  <c r="R1130" i="97"/>
  <c r="R1125" i="97"/>
  <c r="R1129" i="97"/>
  <c r="I25" i="74"/>
  <c r="I1121" i="97" s="1"/>
  <c r="J1140" i="97"/>
  <c r="K44" i="74"/>
  <c r="K39" i="74"/>
  <c r="K1135" i="97" s="1"/>
  <c r="J1118" i="97"/>
  <c r="J39" i="74"/>
  <c r="J1135" i="97" s="1"/>
  <c r="C1117" i="97"/>
  <c r="C39" i="74"/>
  <c r="C1135" i="97" s="1"/>
  <c r="C25" i="74"/>
  <c r="B1143" i="97"/>
  <c r="B1121" i="97"/>
  <c r="B34" i="74"/>
  <c r="B1130" i="97" s="1"/>
  <c r="B38" i="74"/>
  <c r="B1134" i="97" s="1"/>
  <c r="B44" i="82"/>
  <c r="B33" i="74"/>
  <c r="F1117" i="97"/>
  <c r="F39" i="74"/>
  <c r="F1135" i="97" s="1"/>
  <c r="F25" i="74"/>
  <c r="D1117" i="97"/>
  <c r="D25" i="74"/>
  <c r="D39" i="74"/>
  <c r="D1135" i="97" s="1"/>
  <c r="I34" i="74"/>
  <c r="I1130" i="97" s="1"/>
  <c r="I38" i="74"/>
  <c r="I1134" i="97" s="1"/>
  <c r="E1117" i="97"/>
  <c r="E39" i="74"/>
  <c r="E1135" i="97" s="1"/>
  <c r="E25" i="74"/>
  <c r="H1117" i="97"/>
  <c r="H39" i="74"/>
  <c r="H1135" i="97" s="1"/>
  <c r="H25" i="74"/>
  <c r="G1117" i="97"/>
  <c r="G25" i="74"/>
  <c r="G39" i="74"/>
  <c r="G1135" i="97" s="1"/>
  <c r="F30" i="86"/>
  <c r="B1168" i="97"/>
  <c r="B1149" i="97"/>
  <c r="C72" i="74"/>
  <c r="I44" i="82"/>
  <c r="I51" i="82" s="1"/>
  <c r="J25" i="74"/>
  <c r="I33" i="74"/>
  <c r="I1129" i="97" s="1"/>
  <c r="C73" i="82"/>
  <c r="D63" i="74"/>
  <c r="D1159" i="97" s="1"/>
  <c r="C48" i="74"/>
  <c r="C1144" i="97" s="1"/>
  <c r="C56" i="74"/>
  <c r="D46" i="74"/>
  <c r="C47" i="74"/>
  <c r="C53" i="74"/>
  <c r="C55" i="74"/>
  <c r="C1151" i="97" s="1"/>
  <c r="B49" i="74"/>
  <c r="B1145" i="97" s="1"/>
  <c r="F33" i="86"/>
  <c r="K20" i="74"/>
  <c r="K1116" i="97" s="1"/>
  <c r="R1126" i="97" l="1"/>
  <c r="R1127" i="97"/>
  <c r="R1133" i="97"/>
  <c r="R1135" i="97"/>
  <c r="R1134" i="97"/>
  <c r="R1128" i="97"/>
  <c r="R1131" i="97"/>
  <c r="R1136" i="97"/>
  <c r="K1140" i="97"/>
  <c r="B76" i="74"/>
  <c r="F1121" i="97"/>
  <c r="F34" i="74"/>
  <c r="F1130" i="97" s="1"/>
  <c r="F38" i="74"/>
  <c r="F1134" i="97" s="1"/>
  <c r="F44" i="82"/>
  <c r="F33" i="74"/>
  <c r="B54" i="74"/>
  <c r="C1121" i="97"/>
  <c r="C34" i="74"/>
  <c r="C1130" i="97" s="1"/>
  <c r="C38" i="74"/>
  <c r="C1134" i="97" s="1"/>
  <c r="C44" i="82"/>
  <c r="C33" i="74"/>
  <c r="S22" i="74" s="1"/>
  <c r="E34" i="74"/>
  <c r="E1130" i="97" s="1"/>
  <c r="E38" i="74"/>
  <c r="E1134" i="97" s="1"/>
  <c r="E44" i="82"/>
  <c r="E1121" i="97"/>
  <c r="E33" i="74"/>
  <c r="B1129" i="97"/>
  <c r="S21" i="74"/>
  <c r="C9" i="86"/>
  <c r="C17" i="86" s="1"/>
  <c r="C18" i="86" s="1"/>
  <c r="C20" i="86" s="1"/>
  <c r="C24" i="86" s="1"/>
  <c r="K6" i="86" s="1"/>
  <c r="G66" i="86" s="1"/>
  <c r="N92" i="85" s="1"/>
  <c r="J1121" i="97"/>
  <c r="J34" i="74"/>
  <c r="J1130" i="97" s="1"/>
  <c r="J38" i="74"/>
  <c r="J1134" i="97" s="1"/>
  <c r="G1121" i="97"/>
  <c r="G34" i="74"/>
  <c r="G1130" i="97" s="1"/>
  <c r="G38" i="74"/>
  <c r="G1134" i="97" s="1"/>
  <c r="G33" i="74"/>
  <c r="G44" i="82"/>
  <c r="C1143" i="97"/>
  <c r="H1121" i="97"/>
  <c r="H34" i="74"/>
  <c r="H1130" i="97" s="1"/>
  <c r="H38" i="74"/>
  <c r="H1134" i="97" s="1"/>
  <c r="H33" i="74"/>
  <c r="H44" i="82"/>
  <c r="B51" i="82"/>
  <c r="B46" i="82"/>
  <c r="D34" i="74"/>
  <c r="D1130" i="97" s="1"/>
  <c r="D38" i="74"/>
  <c r="D1134" i="97" s="1"/>
  <c r="D44" i="82"/>
  <c r="D1121" i="97"/>
  <c r="D33" i="74"/>
  <c r="G30" i="86"/>
  <c r="C1168" i="97"/>
  <c r="C1149" i="97"/>
  <c r="D72" i="74"/>
  <c r="I46" i="82"/>
  <c r="J33" i="74"/>
  <c r="J1129" i="97" s="1"/>
  <c r="J44" i="82"/>
  <c r="J46" i="82" s="1"/>
  <c r="C29" i="86"/>
  <c r="C37" i="86" s="1"/>
  <c r="C38" i="86" s="1"/>
  <c r="C40" i="86" s="1"/>
  <c r="C44" i="86" s="1"/>
  <c r="K13" i="86" s="1"/>
  <c r="E46" i="74"/>
  <c r="D56" i="74"/>
  <c r="D48" i="74"/>
  <c r="D1144" i="97" s="1"/>
  <c r="D47" i="74"/>
  <c r="D53" i="74"/>
  <c r="D55" i="74"/>
  <c r="D1151" i="97" s="1"/>
  <c r="E63" i="74"/>
  <c r="E1159" i="97" s="1"/>
  <c r="D73" i="82"/>
  <c r="G33" i="86"/>
  <c r="K25" i="74"/>
  <c r="B52" i="74"/>
  <c r="B1148" i="97" s="1"/>
  <c r="C49" i="74"/>
  <c r="C1145" i="97" s="1"/>
  <c r="B1172" i="97" l="1"/>
  <c r="C76" i="74"/>
  <c r="C54" i="74"/>
  <c r="C1150" i="97" s="1"/>
  <c r="K1121" i="97"/>
  <c r="K34" i="74"/>
  <c r="K1130" i="97" s="1"/>
  <c r="K38" i="74"/>
  <c r="K1134" i="97" s="1"/>
  <c r="D46" i="82"/>
  <c r="D51" i="82"/>
  <c r="E1129" i="97"/>
  <c r="F9" i="86"/>
  <c r="F17" i="86" s="1"/>
  <c r="F18" i="86" s="1"/>
  <c r="F20" i="86" s="1"/>
  <c r="F24" i="86" s="1"/>
  <c r="K9" i="86" s="1"/>
  <c r="E46" i="82"/>
  <c r="E51" i="82"/>
  <c r="F1129" i="97"/>
  <c r="G9" i="86"/>
  <c r="G17" i="86" s="1"/>
  <c r="G18" i="86" s="1"/>
  <c r="G20" i="86" s="1"/>
  <c r="G24" i="86" s="1"/>
  <c r="K10" i="86" s="1"/>
  <c r="F46" i="82"/>
  <c r="F51" i="82"/>
  <c r="G51" i="82"/>
  <c r="G46" i="82"/>
  <c r="H51" i="82"/>
  <c r="H46" i="82"/>
  <c r="G1129" i="97"/>
  <c r="H9" i="86"/>
  <c r="H17" i="86" s="1"/>
  <c r="H18" i="86" s="1"/>
  <c r="H20" i="86" s="1"/>
  <c r="H24" i="86" s="1"/>
  <c r="K11" i="86" s="1"/>
  <c r="C1129" i="97"/>
  <c r="S1118" i="97" s="1"/>
  <c r="D9" i="86"/>
  <c r="D17" i="86" s="1"/>
  <c r="D18" i="86" s="1"/>
  <c r="D20" i="86" s="1"/>
  <c r="D24" i="86" s="1"/>
  <c r="K7" i="86" s="1"/>
  <c r="S27" i="74"/>
  <c r="S25" i="74"/>
  <c r="S26" i="74"/>
  <c r="S23" i="74"/>
  <c r="S24" i="74"/>
  <c r="B1150" i="97"/>
  <c r="B71" i="74"/>
  <c r="B1167" i="97" s="1"/>
  <c r="D1143" i="97"/>
  <c r="D1129" i="97"/>
  <c r="E9" i="86"/>
  <c r="E17" i="86" s="1"/>
  <c r="E18" i="86" s="1"/>
  <c r="E20" i="86" s="1"/>
  <c r="E24" i="86" s="1"/>
  <c r="K8" i="86" s="1"/>
  <c r="H1129" i="97"/>
  <c r="I9" i="86"/>
  <c r="I17" i="86" s="1"/>
  <c r="I18" i="86" s="1"/>
  <c r="I20" i="86" s="1"/>
  <c r="I24" i="86" s="1"/>
  <c r="K12" i="86" s="1"/>
  <c r="C46" i="82"/>
  <c r="C51" i="82"/>
  <c r="S28" i="74"/>
  <c r="S1117" i="97"/>
  <c r="H30" i="86"/>
  <c r="D1168" i="97"/>
  <c r="D1149"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F46" i="74"/>
  <c r="E48" i="74"/>
  <c r="E1144" i="97" s="1"/>
  <c r="E53" i="74"/>
  <c r="E55" i="74"/>
  <c r="E1151" i="97" s="1"/>
  <c r="H33" i="86"/>
  <c r="C1172" i="97" l="1"/>
  <c r="D76" i="74"/>
  <c r="C71" i="74"/>
  <c r="C1167" i="97" s="1"/>
  <c r="S1123" i="97"/>
  <c r="D54" i="74"/>
  <c r="D1150" i="97" s="1"/>
  <c r="S1119" i="97"/>
  <c r="E1143" i="97"/>
  <c r="S1121" i="97"/>
  <c r="S1124" i="97"/>
  <c r="B1153" i="97"/>
  <c r="B66" i="74"/>
  <c r="B1162" i="97" s="1"/>
  <c r="B70" i="74"/>
  <c r="B1166" i="97" s="1"/>
  <c r="S1120" i="97"/>
  <c r="S1125" i="97"/>
  <c r="S1122" i="97"/>
  <c r="I30" i="86"/>
  <c r="E1168" i="97"/>
  <c r="E1149" i="97"/>
  <c r="S1126" i="97"/>
  <c r="F72" i="74"/>
  <c r="C57" i="74"/>
  <c r="D52" i="74"/>
  <c r="D1148" i="97" s="1"/>
  <c r="F56" i="74"/>
  <c r="F48" i="74"/>
  <c r="F1144" i="97" s="1"/>
  <c r="F47" i="74"/>
  <c r="G46" i="74"/>
  <c r="F53" i="74"/>
  <c r="F55" i="74"/>
  <c r="F1151" i="97" s="1"/>
  <c r="E49" i="74"/>
  <c r="E1145" i="97" s="1"/>
  <c r="E29" i="86"/>
  <c r="S30" i="74"/>
  <c r="F73" i="82"/>
  <c r="G63" i="74"/>
  <c r="G1159" i="97" s="1"/>
  <c r="K51" i="82"/>
  <c r="K46" i="82"/>
  <c r="B25" i="82" s="1"/>
  <c r="I33" i="86"/>
  <c r="B64" i="82"/>
  <c r="B65" i="74"/>
  <c r="B1161" i="97" s="1"/>
  <c r="S1127" i="97" s="1"/>
  <c r="D1172" i="97" l="1"/>
  <c r="E76" i="74"/>
  <c r="D71" i="74"/>
  <c r="D1167" i="97" s="1"/>
  <c r="F1143" i="97"/>
  <c r="C1153" i="97"/>
  <c r="C66" i="74"/>
  <c r="C1162" i="97" s="1"/>
  <c r="C70" i="74"/>
  <c r="C1166" i="97" s="1"/>
  <c r="E54" i="74"/>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53" i="74"/>
  <c r="G55" i="74"/>
  <c r="G1151" i="97" s="1"/>
  <c r="E1172" i="97" l="1"/>
  <c r="F76" i="74"/>
  <c r="D1153" i="97"/>
  <c r="D66" i="74"/>
  <c r="D1162" i="97" s="1"/>
  <c r="D70" i="74"/>
  <c r="D1166" i="97" s="1"/>
  <c r="F54" i="74"/>
  <c r="E1150" i="97"/>
  <c r="E71" i="74"/>
  <c r="E1167" i="97" s="1"/>
  <c r="G1143" i="97"/>
  <c r="D50" i="86"/>
  <c r="G1168" i="97"/>
  <c r="G1149"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G1150" i="97" s="1"/>
  <c r="F1172" i="97"/>
  <c r="G76" i="74"/>
  <c r="G1172" i="97" s="1"/>
  <c r="H1143" i="97"/>
  <c r="F1150" i="97"/>
  <c r="F71" i="74"/>
  <c r="F1167" i="97" s="1"/>
  <c r="E1153" i="97"/>
  <c r="E66" i="74"/>
  <c r="E1162" i="97" s="1"/>
  <c r="E70" i="74"/>
  <c r="E1166" i="97" s="1"/>
  <c r="E50" i="86"/>
  <c r="H1168" i="97"/>
  <c r="H1149" i="97"/>
  <c r="S1129" i="97"/>
  <c r="I72" i="74"/>
  <c r="E64" i="82"/>
  <c r="E71" i="82" s="1"/>
  <c r="E74" i="82" s="1"/>
  <c r="E65" i="74"/>
  <c r="E1161" i="97" s="1"/>
  <c r="S1130" i="97" s="1"/>
  <c r="B76" i="82"/>
  <c r="E53" i="86"/>
  <c r="E57" i="86" s="1"/>
  <c r="E58" i="86" s="1"/>
  <c r="E60" i="86" s="1"/>
  <c r="E64" i="86" s="1"/>
  <c r="K22" i="86" s="1"/>
  <c r="H29" i="86"/>
  <c r="S33" i="74"/>
  <c r="J46" i="74"/>
  <c r="I56" i="74"/>
  <c r="I47" i="74"/>
  <c r="I48" i="74"/>
  <c r="I1144" i="97" s="1"/>
  <c r="I53" i="74"/>
  <c r="I55" i="74"/>
  <c r="I1151" i="97" s="1"/>
  <c r="D71" i="82"/>
  <c r="D74" i="82" s="1"/>
  <c r="D66" i="82"/>
  <c r="B29" i="82"/>
  <c r="G21" i="82"/>
  <c r="G52" i="74"/>
  <c r="G1148" i="97" s="1"/>
  <c r="H49" i="74"/>
  <c r="H1145" i="97" s="1"/>
  <c r="J63" i="74"/>
  <c r="J1159" i="97" s="1"/>
  <c r="I73" i="82"/>
  <c r="F57" i="74"/>
  <c r="G71" i="74" l="1"/>
  <c r="G1167" i="97" s="1"/>
  <c r="I1143" i="97"/>
  <c r="H54" i="74"/>
  <c r="F1153" i="97"/>
  <c r="F66" i="74"/>
  <c r="F1162" i="97" s="1"/>
  <c r="F70" i="74"/>
  <c r="F1166" i="97" s="1"/>
  <c r="F50" i="86"/>
  <c r="I1168" i="97"/>
  <c r="I1149"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F57" i="86" l="1"/>
  <c r="F58" i="86" s="1"/>
  <c r="F60" i="86" s="1"/>
  <c r="F64" i="86" s="1"/>
  <c r="K23" i="86" s="1"/>
  <c r="I54" i="74"/>
  <c r="I1150" i="97" s="1"/>
  <c r="G1153" i="97"/>
  <c r="G66" i="74"/>
  <c r="G1162" i="97" s="1"/>
  <c r="G70" i="74"/>
  <c r="G1166" i="97" s="1"/>
  <c r="H1150" i="97"/>
  <c r="H71" i="74"/>
  <c r="H1167" i="97" s="1"/>
  <c r="J1143" i="97"/>
  <c r="G50" i="86"/>
  <c r="J1168" i="97"/>
  <c r="J1149" i="97"/>
  <c r="S1131"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48" i="74"/>
  <c r="K1144" i="97" s="1"/>
  <c r="K53" i="74"/>
  <c r="K55" i="74"/>
  <c r="K1151" i="97" s="1"/>
  <c r="H57" i="74"/>
  <c r="J54" i="74" l="1"/>
  <c r="J1150" i="97" s="1"/>
  <c r="I71" i="74"/>
  <c r="I1167" i="97" s="1"/>
  <c r="H1153" i="97"/>
  <c r="H66" i="74"/>
  <c r="H1162" i="97" s="1"/>
  <c r="H70" i="74"/>
  <c r="H1166" i="97" s="1"/>
  <c r="K1143" i="97"/>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J71" i="74" l="1"/>
  <c r="J1167" i="97" s="1"/>
  <c r="K54" i="74"/>
  <c r="K1150" i="97" s="1"/>
  <c r="I1153" i="97"/>
  <c r="I66" i="74"/>
  <c r="I1162" i="97" s="1"/>
  <c r="I70" i="74"/>
  <c r="I1166" i="97" s="1"/>
  <c r="B1175" i="97"/>
  <c r="B86" i="74"/>
  <c r="B1182"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K71" i="74" l="1"/>
  <c r="K1167" i="97" s="1"/>
  <c r="B102" i="74"/>
  <c r="B1198" i="97" s="1"/>
  <c r="C1175" i="97"/>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D1175" i="97" l="1"/>
  <c r="C86" i="74"/>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B1185" i="97" l="1"/>
  <c r="B97" i="74"/>
  <c r="B1193" i="97" s="1"/>
  <c r="B101" i="74"/>
  <c r="B1197" i="97" s="1"/>
  <c r="C1182" i="97"/>
  <c r="C102" i="74"/>
  <c r="C1198" i="97" s="1"/>
  <c r="D86" i="74"/>
  <c r="E1175" i="97"/>
  <c r="E86" i="74"/>
  <c r="E1182" i="97" s="1"/>
  <c r="E1181" i="97"/>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C1185" i="97" l="1"/>
  <c r="C97" i="74"/>
  <c r="C1193" i="97" s="1"/>
  <c r="C101" i="74"/>
  <c r="C1197" i="97" s="1"/>
  <c r="F1175" i="97"/>
  <c r="E102" i="74"/>
  <c r="E1198" i="97" s="1"/>
  <c r="D1182" i="97"/>
  <c r="D102" i="74"/>
  <c r="D1198" i="97" s="1"/>
  <c r="F1181" i="97"/>
  <c r="G103" i="74"/>
  <c r="G1199" i="97" s="1"/>
  <c r="C96" i="74"/>
  <c r="C1192" i="97" s="1"/>
  <c r="E84" i="74"/>
  <c r="E1180" i="97" s="1"/>
  <c r="G79" i="74"/>
  <c r="G88" i="74"/>
  <c r="G80" i="74"/>
  <c r="G1176" i="97" s="1"/>
  <c r="H78" i="74"/>
  <c r="G85" i="74"/>
  <c r="G87" i="74"/>
  <c r="G1183" i="97" s="1"/>
  <c r="K75" i="82"/>
  <c r="K76" i="82" s="1"/>
  <c r="H95" i="74"/>
  <c r="H1191" i="97" s="1"/>
  <c r="F81" i="74"/>
  <c r="F1177" i="97" s="1"/>
  <c r="D89" i="74"/>
  <c r="D1185" i="97" l="1"/>
  <c r="D97" i="74"/>
  <c r="D1193" i="97" s="1"/>
  <c r="D101" i="74"/>
  <c r="D1197" i="97" s="1"/>
  <c r="G1175" i="97"/>
  <c r="G86" i="74"/>
  <c r="G1182" i="97" s="1"/>
  <c r="F86" i="74"/>
  <c r="G1181" i="97"/>
  <c r="H103" i="74"/>
  <c r="H1199" i="97" s="1"/>
  <c r="D96" i="74"/>
  <c r="D1192" i="97" s="1"/>
  <c r="E89" i="74"/>
  <c r="F84" i="74"/>
  <c r="F1180" i="97" s="1"/>
  <c r="H88" i="74"/>
  <c r="H80" i="74"/>
  <c r="H1176" i="97" s="1"/>
  <c r="H79" i="74"/>
  <c r="I78" i="74"/>
  <c r="H85" i="74"/>
  <c r="H87" i="74"/>
  <c r="H1183" i="97" s="1"/>
  <c r="G81" i="74"/>
  <c r="G1177" i="97" s="1"/>
  <c r="I95" i="74"/>
  <c r="I1191" i="97" s="1"/>
  <c r="G102" i="74" l="1"/>
  <c r="G1198" i="97" s="1"/>
  <c r="H1175" i="97"/>
  <c r="F1182" i="97"/>
  <c r="F102" i="74"/>
  <c r="F1198" i="97" s="1"/>
  <c r="E1185" i="97"/>
  <c r="E97" i="74"/>
  <c r="E1193" i="97" s="1"/>
  <c r="E101" i="74"/>
  <c r="E1197" i="97" s="1"/>
  <c r="H1181" i="97"/>
  <c r="I103" i="74"/>
  <c r="I1199" i="97" s="1"/>
  <c r="E96" i="74"/>
  <c r="E1192" i="97" s="1"/>
  <c r="F89" i="74"/>
  <c r="G84" i="74"/>
  <c r="G1180" i="97" s="1"/>
  <c r="I88" i="74"/>
  <c r="I79" i="74"/>
  <c r="J78" i="74"/>
  <c r="I80" i="74"/>
  <c r="I1176" i="97" s="1"/>
  <c r="I85" i="74"/>
  <c r="I87" i="74"/>
  <c r="I1183" i="97" s="1"/>
  <c r="H81" i="74"/>
  <c r="H1177" i="97" s="1"/>
  <c r="J95" i="74"/>
  <c r="J1191" i="97" s="1"/>
  <c r="I1175" i="97" l="1"/>
  <c r="H86" i="74"/>
  <c r="F1185" i="97"/>
  <c r="F97" i="74"/>
  <c r="F1193" i="97" s="1"/>
  <c r="F101" i="74"/>
  <c r="F1197" i="97" s="1"/>
  <c r="I1181" i="97"/>
  <c r="J103" i="74"/>
  <c r="J1199" i="97" s="1"/>
  <c r="F96" i="74"/>
  <c r="F1192" i="97" s="1"/>
  <c r="J80" i="74"/>
  <c r="J1176" i="97" s="1"/>
  <c r="K78" i="74"/>
  <c r="J79" i="74"/>
  <c r="J88" i="74"/>
  <c r="J85" i="74"/>
  <c r="J87" i="74"/>
  <c r="J1183" i="97" s="1"/>
  <c r="I81" i="74"/>
  <c r="I1177" i="97" s="1"/>
  <c r="K95" i="74"/>
  <c r="K1191" i="97" s="1"/>
  <c r="G89" i="74"/>
  <c r="H84" i="74"/>
  <c r="H1180" i="97" s="1"/>
  <c r="I86" i="74" l="1"/>
  <c r="I1182" i="97" s="1"/>
  <c r="H1182" i="97"/>
  <c r="H102" i="74"/>
  <c r="H1198" i="97" s="1"/>
  <c r="J1175" i="97"/>
  <c r="G1185" i="97"/>
  <c r="G97" i="74"/>
  <c r="G1193" i="97" s="1"/>
  <c r="G101" i="74"/>
  <c r="G1197" i="97" s="1"/>
  <c r="J1181" i="97"/>
  <c r="K103" i="74"/>
  <c r="K1199" i="97" s="1"/>
  <c r="G96" i="74"/>
  <c r="G1192" i="97" s="1"/>
  <c r="H89" i="74"/>
  <c r="J81" i="74"/>
  <c r="J1177" i="97" s="1"/>
  <c r="B125" i="74"/>
  <c r="B1221" i="97" s="1"/>
  <c r="K80" i="74"/>
  <c r="K1176" i="97" s="1"/>
  <c r="B108" i="74"/>
  <c r="K88" i="74"/>
  <c r="K79" i="74"/>
  <c r="K85" i="74"/>
  <c r="K87" i="74"/>
  <c r="K1183" i="97" s="1"/>
  <c r="I84" i="74"/>
  <c r="I1180" i="97" s="1"/>
  <c r="J86" i="74" l="1"/>
  <c r="J1182" i="97" s="1"/>
  <c r="I102" i="74"/>
  <c r="I1198" i="97" s="1"/>
  <c r="H1185" i="97"/>
  <c r="H97" i="74"/>
  <c r="H1193" i="97" s="1"/>
  <c r="H101" i="74"/>
  <c r="H1197" i="97" s="1"/>
  <c r="K1175" i="97"/>
  <c r="K86" i="74"/>
  <c r="K1182" i="97" s="1"/>
  <c r="K1181" i="97"/>
  <c r="B133" i="74"/>
  <c r="B1229" i="97" s="1"/>
  <c r="H96" i="74"/>
  <c r="H1192" i="97" s="1"/>
  <c r="J84" i="74"/>
  <c r="J1180" i="97" s="1"/>
  <c r="K81" i="74"/>
  <c r="K1177" i="97" s="1"/>
  <c r="C125" i="74"/>
  <c r="C1221" i="97" s="1"/>
  <c r="I89" i="74"/>
  <c r="B109" i="74"/>
  <c r="C108" i="74"/>
  <c r="B110" i="74"/>
  <c r="B1206" i="97" s="1"/>
  <c r="B118" i="74"/>
  <c r="B115" i="74"/>
  <c r="B117" i="74"/>
  <c r="B1213" i="97" s="1"/>
  <c r="J102" i="74" l="1"/>
  <c r="J1198" i="97" s="1"/>
  <c r="B1205" i="97"/>
  <c r="I1185" i="97"/>
  <c r="I97" i="74"/>
  <c r="I1193" i="97" s="1"/>
  <c r="I101" i="74"/>
  <c r="I1197" i="97" s="1"/>
  <c r="K102" i="74"/>
  <c r="K1198" i="97" s="1"/>
  <c r="B1211" i="97"/>
  <c r="C133" i="74"/>
  <c r="C1229" i="97" s="1"/>
  <c r="I96" i="74"/>
  <c r="I1192" i="97" s="1"/>
  <c r="J89" i="74"/>
  <c r="K84" i="74"/>
  <c r="K1180" i="97" s="1"/>
  <c r="D108" i="74"/>
  <c r="C109" i="74"/>
  <c r="C118" i="74"/>
  <c r="C110" i="74"/>
  <c r="C1206" i="97" s="1"/>
  <c r="C115" i="74"/>
  <c r="C117" i="74"/>
  <c r="C1213" i="97" s="1"/>
  <c r="D125" i="74"/>
  <c r="D1221" i="97" s="1"/>
  <c r="B111" i="74"/>
  <c r="B1207" i="97" s="1"/>
  <c r="B116" i="74" l="1"/>
  <c r="C1205" i="97"/>
  <c r="J1185" i="97"/>
  <c r="J97" i="74"/>
  <c r="J1193" i="97" s="1"/>
  <c r="J101" i="74"/>
  <c r="J1197" i="97" s="1"/>
  <c r="C1211" i="97"/>
  <c r="D133" i="74"/>
  <c r="D1229" i="97" s="1"/>
  <c r="K89" i="74"/>
  <c r="J96" i="74"/>
  <c r="J1192" i="97" s="1"/>
  <c r="B114" i="74"/>
  <c r="B1210" i="97" s="1"/>
  <c r="C111" i="74"/>
  <c r="C1207" i="97" s="1"/>
  <c r="E125" i="74"/>
  <c r="E1221" i="97" s="1"/>
  <c r="D118" i="74"/>
  <c r="D109" i="74"/>
  <c r="E108" i="74"/>
  <c r="D110" i="74"/>
  <c r="D1206" i="97" s="1"/>
  <c r="D115" i="74"/>
  <c r="D117" i="74"/>
  <c r="D1213" i="97" s="1"/>
  <c r="C116" i="74" l="1"/>
  <c r="D1205" i="97"/>
  <c r="K1185" i="97"/>
  <c r="K101" i="74"/>
  <c r="K1197" i="97" s="1"/>
  <c r="K97" i="74"/>
  <c r="K1193" i="97" s="1"/>
  <c r="B1212" i="97"/>
  <c r="B132" i="74"/>
  <c r="B1228" i="97" s="1"/>
  <c r="D1211" i="97"/>
  <c r="E133" i="74"/>
  <c r="E1229" i="97" s="1"/>
  <c r="K96" i="74"/>
  <c r="K1192" i="97" s="1"/>
  <c r="B119" i="74"/>
  <c r="C114" i="74"/>
  <c r="C1210" i="97" s="1"/>
  <c r="F125" i="74"/>
  <c r="F1221" i="97" s="1"/>
  <c r="F108" i="74"/>
  <c r="E109" i="74"/>
  <c r="E118" i="74"/>
  <c r="E110" i="74"/>
  <c r="E1206" i="97" s="1"/>
  <c r="E115" i="74"/>
  <c r="E117" i="74"/>
  <c r="E1213" i="97" s="1"/>
  <c r="D111" i="74"/>
  <c r="D1207" i="97" s="1"/>
  <c r="B1215" i="97" l="1"/>
  <c r="B127" i="74"/>
  <c r="B1223" i="97" s="1"/>
  <c r="B131" i="74"/>
  <c r="B1227" i="97" s="1"/>
  <c r="D116" i="74"/>
  <c r="E1205" i="97"/>
  <c r="C1212" i="97"/>
  <c r="C132" i="74"/>
  <c r="C1228" i="97" s="1"/>
  <c r="E1211" i="97"/>
  <c r="F133" i="74"/>
  <c r="F1229" i="97" s="1"/>
  <c r="B126" i="74"/>
  <c r="B1222" i="97" s="1"/>
  <c r="C119" i="74"/>
  <c r="E111" i="74"/>
  <c r="E1207" i="97" s="1"/>
  <c r="F118" i="74"/>
  <c r="F110" i="74"/>
  <c r="F1206" i="97" s="1"/>
  <c r="F109" i="74"/>
  <c r="F115" i="74"/>
  <c r="F117" i="74"/>
  <c r="F1213" i="97" s="1"/>
  <c r="D114" i="74"/>
  <c r="D1210" i="97" s="1"/>
  <c r="E116" i="74" l="1"/>
  <c r="E1212" i="97" s="1"/>
  <c r="D1212" i="97"/>
  <c r="D132" i="74"/>
  <c r="D1228" i="97" s="1"/>
  <c r="C1215" i="97"/>
  <c r="C127" i="74"/>
  <c r="C1223" i="97" s="1"/>
  <c r="C131" i="74"/>
  <c r="C1227" i="97" s="1"/>
  <c r="F1205" i="97"/>
  <c r="F116" i="74"/>
  <c r="F1212" i="97" s="1"/>
  <c r="F1211" i="97"/>
  <c r="C126" i="74"/>
  <c r="C1222" i="97" s="1"/>
  <c r="E114" i="74"/>
  <c r="E1210" i="97" s="1"/>
  <c r="F111" i="74"/>
  <c r="F1207" i="97" s="1"/>
  <c r="D119" i="74"/>
  <c r="E132" i="74" l="1"/>
  <c r="E1228" i="97" s="1"/>
  <c r="D1215" i="97"/>
  <c r="D127" i="74"/>
  <c r="D1223" i="97" s="1"/>
  <c r="D131" i="74"/>
  <c r="D1227" i="97" s="1"/>
  <c r="F132" i="74"/>
  <c r="F1228"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<sst xmlns="http://schemas.openxmlformats.org/spreadsheetml/2006/main" count="19963" uniqueCount="7167">
  <si>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</si>
  <si>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</si>
  <si>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</si>
  <si>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</si>
  <si>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</si>
  <si>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</si>
  <si>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</si>
  <si>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</si>
  <si>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</si>
  <si>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</si>
  <si>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</si>
  <si>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</si>
  <si>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</si>
  <si>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</si>
  <si>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</si>
  <si>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</si>
  <si>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</si>
  <si>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</si>
  <si>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</si>
  <si>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</si>
  <si>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</si>
  <si>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</si>
  <si>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</si>
  <si>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</si>
  <si>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</si>
  <si>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</si>
  <si>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</si>
  <si>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</si>
  <si>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</si>
  <si>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</si>
  <si>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</si>
  <si>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</si>
  <si>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</si>
  <si>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</si>
  <si>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</si>
  <si>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</si>
  <si>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</si>
  <si>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</si>
  <si>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</si>
  <si>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</si>
  <si>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</si>
  <si>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</si>
  <si>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</si>
  <si>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</si>
  <si>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</si>
  <si>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</si>
  <si>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</si>
  <si>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</si>
  <si>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</si>
  <si>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</si>
  <si>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</si>
  <si>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</si>
  <si>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</si>
  <si>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</si>
  <si>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</si>
  <si>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</si>
  <si>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</si>
  <si>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</si>
  <si>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</si>
  <si>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</si>
  <si>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</si>
  <si>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</si>
  <si>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</si>
  <si>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</si>
  <si>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</si>
  <si>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</si>
  <si>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</si>
  <si>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</si>
  <si>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</si>
  <si>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</si>
  <si>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</si>
  <si>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</si>
  <si>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</si>
  <si>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</si>
  <si>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</si>
  <si>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</si>
  <si>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</si>
  <si>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</si>
  <si>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</si>
  <si>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</si>
  <si>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</si>
  <si>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</si>
  <si>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</si>
  <si>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</si>
  <si>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</si>
  <si>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</si>
  <si>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</si>
  <si>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</si>
  <si>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</si>
  <si>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</si>
  <si>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</si>
  <si>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</si>
  <si>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</si>
  <si>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</si>
  <si>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</si>
  <si>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</si>
  <si>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</si>
  <si>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</si>
  <si>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</si>
  <si>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</si>
  <si>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</si>
  <si>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</si>
  <si>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</si>
  <si>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</si>
  <si>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</si>
  <si>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</si>
  <si>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</si>
  <si>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</si>
  <si>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</si>
  <si>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</si>
  <si>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</si>
  <si>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</si>
  <si>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</si>
  <si>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</si>
  <si>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</si>
  <si>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</si>
  <si>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</si>
  <si>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</si>
  <si>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</si>
  <si>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</si>
  <si>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</si>
  <si>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</si>
  <si>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</si>
  <si>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</si>
  <si>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</si>
  <si>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</si>
  <si>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</si>
  <si>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</si>
  <si>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</si>
  <si>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</si>
  <si>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</si>
  <si>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</si>
  <si>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</si>
  <si>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</si>
  <si>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</si>
  <si>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</si>
  <si>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</si>
  <si>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</si>
  <si>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</si>
  <si>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</si>
  <si>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</si>
  <si>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</si>
  <si>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</si>
  <si>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</si>
  <si>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</si>
  <si>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</si>
  <si>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</si>
  <si>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</si>
  <si>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</si>
  <si>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</si>
  <si>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</si>
  <si>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</si>
  <si>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</si>
  <si>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</si>
  <si>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</si>
  <si>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</si>
  <si>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</si>
  <si>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</si>
  <si>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</si>
  <si>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</si>
  <si>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</si>
  <si>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</si>
  <si>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</si>
  <si>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</si>
  <si>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</si>
  <si>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</si>
  <si>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</si>
  <si>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</si>
  <si>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</si>
  <si>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</si>
  <si>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</si>
  <si>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</si>
  <si>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</si>
  <si>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</si>
  <si>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</si>
  <si>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</si>
  <si>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</si>
  <si>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</si>
  <si>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</si>
  <si>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</si>
  <si>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</si>
  <si>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</si>
  <si>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</si>
  <si>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</si>
  <si>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</si>
  <si>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</si>
  <si>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</si>
  <si>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</si>
  <si>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</si>
  <si>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</si>
  <si>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</si>
  <si>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</si>
  <si>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</si>
  <si>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</si>
  <si>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</si>
  <si>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</si>
  <si>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</si>
  <si>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</si>
  <si>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</si>
  <si>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</si>
  <si>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</si>
  <si>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</si>
  <si>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</si>
  <si>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</si>
  <si>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</si>
  <si>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</si>
  <si>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</si>
  <si>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</si>
  <si>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</si>
  <si>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</si>
  <si>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</si>
  <si>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</si>
  <si>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</si>
  <si>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</si>
  <si>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</si>
  <si>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</si>
  <si>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</si>
  <si>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</si>
  <si>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</si>
  <si>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</si>
  <si>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</si>
  <si>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</si>
  <si>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</si>
  <si>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</si>
  <si>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</si>
  <si>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</si>
  <si>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</si>
  <si>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</si>
  <si>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</si>
  <si>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</si>
  <si>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</si>
  <si>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</si>
  <si>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</si>
  <si>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</si>
  <si>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</si>
  <si>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</si>
  <si>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</si>
  <si>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</si>
  <si>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</si>
  <si>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</si>
  <si>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</si>
  <si>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</si>
  <si>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</si>
  <si>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</si>
  <si>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</si>
  <si>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</si>
  <si>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</si>
  <si>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</si>
  <si>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</si>
  <si>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</si>
  <si>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</si>
  <si>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</si>
  <si>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</si>
  <si>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</si>
  <si>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</si>
  <si>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</si>
  <si>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</si>
  <si>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</si>
  <si>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</si>
  <si>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</si>
  <si>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</si>
  <si>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</si>
  <si>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</si>
  <si>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</si>
  <si>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</si>
  <si>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</si>
  <si>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</si>
  <si>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</si>
  <si>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</si>
  <si>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</si>
  <si>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</si>
  <si>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</si>
  <si>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</si>
  <si>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</si>
  <si>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</si>
  <si>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</si>
  <si>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</si>
  <si>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</si>
  <si>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</si>
  <si>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</si>
  <si>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</si>
  <si>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</si>
  <si>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</si>
  <si>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</si>
  <si>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</si>
  <si>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</si>
  <si>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</si>
  <si>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</si>
  <si>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</si>
  <si>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</si>
  <si>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</si>
  <si>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</si>
  <si>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</si>
  <si>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</si>
  <si>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</si>
  <si>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</si>
  <si>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</si>
  <si>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</si>
  <si>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</si>
  <si>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</si>
  <si>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</si>
  <si>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</si>
  <si>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</si>
  <si>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</si>
  <si>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</si>
  <si>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</si>
  <si>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</si>
  <si>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</si>
  <si>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</si>
  <si>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</si>
  <si>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</si>
  <si>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</si>
  <si>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</si>
  <si>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</si>
  <si>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</si>
  <si>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</si>
  <si>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</si>
  <si>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</si>
  <si>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</si>
  <si>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</si>
  <si>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</si>
  <si>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</si>
  <si>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</si>
  <si>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</si>
  <si>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</si>
  <si>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</si>
  <si>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</si>
  <si>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</si>
  <si>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</si>
  <si>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</si>
  <si>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</si>
  <si>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</si>
  <si>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</si>
  <si>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</si>
  <si>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</si>
  <si>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</si>
  <si>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</si>
  <si>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</si>
  <si>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</si>
  <si>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</si>
  <si>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</si>
  <si>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</si>
  <si>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</si>
  <si>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</si>
  <si>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</si>
  <si>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</si>
  <si>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</si>
  <si>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</si>
  <si>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</si>
  <si>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</si>
  <si>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</si>
  <si>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</si>
  <si>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</si>
  <si>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</si>
  <si>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</si>
  <si>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</si>
  <si>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</si>
  <si>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</si>
  <si>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</si>
  <si>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</si>
  <si>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</si>
  <si>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</si>
  <si>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</si>
  <si>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</si>
  <si>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</si>
  <si>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</si>
  <si>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</si>
  <si>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</si>
  <si>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</si>
  <si>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</si>
  <si>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</si>
  <si>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</si>
  <si>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</si>
  <si>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</si>
  <si>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</si>
  <si>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</si>
  <si>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</si>
  <si>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</si>
  <si>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</si>
  <si>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</si>
  <si>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</si>
  <si>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</si>
  <si>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</si>
  <si>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</si>
  <si>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</si>
  <si>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</si>
  <si>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</si>
  <si>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</si>
  <si>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</si>
  <si>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</si>
  <si>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</si>
  <si>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</si>
  <si>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</si>
  <si>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</si>
  <si>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</si>
  <si>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</si>
  <si>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</si>
  <si>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</si>
  <si>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</si>
  <si>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</si>
  <si>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</si>
  <si>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</si>
  <si>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</si>
  <si>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</si>
  <si>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</si>
  <si>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</si>
  <si>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</si>
  <si>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</si>
  <si>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</si>
  <si>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</si>
  <si>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</si>
  <si>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</si>
  <si>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</si>
  <si>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</si>
  <si>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</si>
  <si>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</si>
  <si>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</si>
  <si>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</si>
  <si>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</si>
  <si>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</si>
  <si>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</si>
  <si>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</si>
  <si>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</si>
  <si>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</si>
  <si>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</si>
  <si>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</si>
  <si>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</si>
  <si>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</si>
  <si>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</si>
  <si>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</si>
  <si>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</si>
  <si>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</si>
  <si>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</si>
  <si>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</si>
  <si>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</si>
  <si>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</si>
  <si>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</si>
  <si>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</si>
  <si>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</si>
  <si>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</si>
  <si>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</si>
  <si>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</si>
  <si>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</si>
  <si>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</si>
  <si>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</si>
  <si>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</si>
  <si>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</si>
  <si>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</si>
  <si>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</si>
  <si>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</si>
  <si>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</si>
  <si>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</si>
  <si>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</si>
  <si>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</si>
  <si>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</si>
  <si>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</si>
  <si>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</si>
  <si>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</si>
  <si>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</si>
  <si>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</si>
  <si>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</si>
  <si>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</si>
  <si>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</si>
  <si>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</si>
  <si>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</si>
  <si>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</si>
  <si>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</si>
  <si>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</si>
  <si>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</si>
  <si>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</si>
  <si>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</si>
  <si>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</si>
  <si>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</si>
  <si>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</si>
  <si>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</si>
  <si>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</si>
  <si>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</si>
  <si>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</si>
  <si>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</si>
  <si>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</si>
  <si>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</si>
  <si>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</si>
  <si>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</si>
  <si>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</si>
  <si>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</si>
  <si>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</si>
  <si>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</si>
  <si>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</si>
  <si>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</si>
  <si>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</si>
  <si>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</si>
  <si>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</si>
  <si>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</si>
  <si>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</si>
  <si>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</si>
  <si>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</si>
  <si>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</si>
  <si>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</si>
  <si>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</si>
  <si>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</si>
  <si>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</si>
  <si>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</si>
  <si>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</si>
  <si>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</si>
  <si>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</si>
  <si>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</si>
  <si>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</si>
  <si>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</si>
  <si>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</si>
  <si>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</si>
  <si>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</si>
  <si>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</si>
  <si>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</si>
  <si>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</si>
  <si>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</si>
  <si>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</si>
  <si>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</si>
  <si>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</si>
  <si>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</si>
  <si>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</si>
  <si>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</si>
  <si>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</si>
  <si>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</si>
  <si>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</si>
  <si>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</si>
  <si>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</si>
  <si>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</si>
  <si>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</si>
  <si>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</si>
  <si>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</si>
  <si>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</si>
  <si>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</si>
  <si>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</si>
  <si>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</si>
  <si>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</si>
  <si>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</si>
  <si>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</si>
  <si>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</si>
  <si>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</si>
  <si>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</si>
  <si>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</si>
  <si>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</si>
  <si>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</si>
  <si>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</si>
  <si>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</si>
  <si>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</si>
  <si>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</si>
  <si>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</si>
  <si>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</si>
  <si>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</si>
  <si>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</si>
  <si>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</si>
  <si>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</si>
  <si>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</si>
  <si>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</si>
  <si>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</si>
  <si>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</si>
  <si>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</si>
  <si>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</si>
  <si>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</si>
  <si>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</si>
  <si>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</si>
  <si>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</si>
  <si>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</si>
  <si>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</si>
  <si>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</si>
  <si>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</si>
  <si>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</si>
  <si>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</si>
  <si>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</si>
  <si>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</si>
  <si>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</si>
  <si>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</si>
  <si>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</si>
  <si>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</si>
  <si>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</si>
  <si>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</si>
  <si>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</si>
  <si>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</si>
  <si>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</si>
  <si>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</si>
  <si>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</si>
  <si>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</si>
  <si>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</si>
  <si>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</si>
  <si>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</si>
  <si>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</si>
  <si>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</si>
  <si>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</si>
  <si>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</si>
  <si>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</si>
  <si>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</si>
  <si>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</si>
  <si>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</si>
  <si>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</si>
  <si>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</si>
  <si>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</si>
  <si>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</si>
  <si>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</si>
  <si>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</si>
  <si>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</si>
  <si>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</si>
  <si>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</si>
  <si>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</si>
  <si>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</si>
  <si>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</si>
  <si>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</si>
  <si>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</si>
  <si>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</si>
  <si>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</si>
  <si>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</si>
  <si>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</si>
  <si>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</si>
  <si>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</si>
  <si>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</si>
  <si>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</si>
  <si>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</si>
  <si>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</si>
  <si>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</si>
  <si>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</si>
  <si>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</si>
  <si>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</si>
  <si>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</si>
  <si>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</si>
  <si>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</si>
  <si>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</si>
  <si>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</si>
  <si>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</si>
  <si>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</si>
  <si>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</si>
  <si>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</si>
  <si>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</si>
  <si>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</si>
  <si>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</si>
  <si>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</si>
  <si>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</si>
  <si>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</si>
  <si>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</si>
  <si>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</si>
  <si>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</si>
  <si>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</si>
  <si>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</si>
  <si>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</si>
  <si>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</si>
  <si>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</si>
  <si>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</si>
  <si>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</si>
  <si>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</si>
  <si>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</si>
  <si>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</si>
  <si>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</si>
  <si>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</si>
  <si>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</si>
  <si>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</si>
  <si>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</si>
  <si>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</si>
  <si>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</si>
  <si>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</si>
  <si>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</si>
  <si>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</si>
  <si>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</si>
  <si>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</si>
  <si>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</si>
  <si>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</si>
  <si>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</si>
  <si>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</si>
  <si>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</si>
  <si>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</si>
  <si>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</si>
  <si>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</si>
  <si>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</si>
  <si>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</si>
  <si>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</si>
  <si>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</si>
  <si>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</si>
  <si>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</si>
  <si>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</si>
  <si>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</si>
  <si>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</si>
  <si>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</si>
  <si>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</si>
  <si>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</si>
  <si>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</si>
  <si>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</si>
  <si>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</si>
  <si>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</si>
  <si>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</si>
  <si>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</si>
  <si>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</si>
  <si>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</si>
  <si>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</si>
  <si>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</si>
  <si>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</si>
  <si>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</si>
  <si>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</si>
  <si>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</si>
  <si>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</si>
  <si>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</si>
  <si>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</si>
  <si>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</si>
  <si>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</si>
  <si>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</si>
  <si>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</si>
  <si>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</si>
  <si>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</si>
  <si>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</si>
  <si>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</si>
  <si>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</si>
  <si>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</si>
  <si>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</si>
  <si>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</si>
  <si>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</si>
  <si>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</si>
  <si>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</si>
  <si>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</si>
  <si>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</si>
  <si>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</si>
  <si>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</si>
  <si>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</si>
  <si>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</si>
  <si>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</si>
  <si>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</si>
  <si>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</si>
  <si>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</si>
  <si>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</si>
  <si>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</si>
  <si>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</si>
  <si>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</si>
  <si>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</si>
  <si>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</si>
  <si>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</si>
  <si>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</si>
  <si>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</si>
  <si>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</si>
  <si>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</si>
  <si>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</si>
  <si>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</si>
  <si>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</si>
  <si>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</si>
  <si>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</si>
  <si>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</si>
  <si>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</si>
  <si>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</si>
  <si>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</si>
  <si>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</si>
  <si>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</si>
  <si>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</si>
  <si>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</si>
  <si>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</si>
  <si>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</si>
  <si>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</si>
  <si>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</si>
  <si>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</si>
  <si>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</si>
  <si>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</si>
  <si>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</si>
  <si>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</si>
  <si>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</si>
  <si>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</si>
  <si>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</si>
  <si>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</si>
  <si>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</si>
  <si>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</si>
  <si>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</si>
  <si>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</si>
  <si>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</si>
  <si>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</si>
  <si>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</si>
  <si>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</si>
  <si>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</si>
  <si>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</si>
  <si>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</si>
  <si>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</si>
  <si>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</si>
  <si>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</si>
  <si>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</si>
  <si>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</si>
  <si>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</si>
  <si>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</si>
  <si>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</si>
  <si>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</si>
  <si>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</si>
  <si>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</si>
  <si>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</si>
  <si>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</si>
  <si>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</si>
  <si>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</si>
  <si>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</si>
  <si>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</si>
  <si>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</si>
  <si>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</si>
  <si>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</si>
  <si>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</si>
  <si>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</si>
  <si>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</si>
  <si>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</si>
  <si>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</si>
  <si>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</si>
  <si>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</si>
  <si>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</si>
  <si>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</si>
  <si>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</si>
  <si>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</si>
  <si>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</si>
  <si>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</si>
  <si>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</si>
  <si>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</si>
  <si>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</si>
  <si>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</si>
  <si>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</si>
  <si>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</si>
  <si>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</si>
  <si>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</si>
  <si>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</si>
  <si>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</si>
  <si>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</si>
  <si>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</si>
  <si>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</si>
  <si>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</si>
  <si>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</si>
  <si>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</si>
  <si>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</si>
  <si>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</si>
  <si>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</si>
  <si>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</si>
  <si>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</si>
  <si>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</si>
  <si>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</si>
  <si>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</si>
  <si>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</si>
  <si>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</si>
  <si>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</si>
  <si>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</si>
  <si>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</si>
  <si>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</si>
  <si>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</si>
  <si>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</si>
  <si>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</si>
  <si>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</si>
  <si>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</si>
  <si>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</si>
  <si>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</si>
  <si>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</si>
  <si>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</si>
  <si>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</si>
  <si>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</si>
  <si>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</si>
  <si>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</si>
  <si>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</si>
  <si>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</si>
  <si>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</si>
  <si>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</si>
  <si>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</si>
  <si>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</si>
  <si>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</si>
  <si>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</si>
  <si>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</si>
  <si>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</si>
  <si>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</si>
  <si>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</si>
  <si>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</si>
  <si>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</si>
  <si>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</si>
  <si>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</si>
  <si>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</si>
  <si>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</si>
  <si>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</si>
  <si>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</si>
  <si>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</si>
  <si>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</si>
  <si>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</si>
  <si>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</si>
  <si>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</si>
  <si>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</si>
  <si>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</si>
  <si>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</si>
  <si>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</si>
  <si>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</si>
  <si>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</si>
  <si>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</si>
  <si>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</si>
  <si>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</si>
  <si>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</si>
  <si>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</si>
  <si>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</si>
  <si>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</si>
  <si>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</si>
  <si>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</si>
  <si>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</si>
  <si>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</si>
  <si>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</si>
  <si>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</si>
  <si>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</si>
  <si>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</si>
  <si>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</si>
  <si>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</si>
  <si>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</si>
  <si>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</si>
  <si>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</si>
  <si>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</si>
  <si>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</si>
  <si>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</si>
  <si>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</si>
  <si>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</si>
  <si>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</si>
  <si>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</si>
  <si>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</si>
  <si>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</si>
  <si>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</si>
  <si>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</si>
  <si>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</si>
  <si>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</si>
  <si>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</si>
  <si>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</si>
  <si>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</si>
  <si>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</si>
  <si>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</si>
  <si>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</si>
  <si>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</si>
  <si>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</si>
  <si>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</si>
  <si>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</si>
  <si>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</si>
  <si>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</si>
  <si>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</si>
  <si>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</si>
  <si>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</si>
  <si>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</si>
  <si>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</si>
  <si>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</si>
  <si>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</si>
  <si>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</si>
  <si>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</si>
  <si>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</si>
  <si>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</si>
  <si>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</si>
  <si>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</si>
  <si>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</si>
  <si>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</si>
  <si>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</si>
  <si>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</si>
  <si>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</si>
  <si>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</si>
  <si>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</si>
  <si>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</si>
  <si>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</si>
  <si>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</si>
  <si>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</si>
  <si>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</si>
  <si>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</si>
  <si>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</si>
  <si>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</si>
  <si>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</si>
  <si>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</si>
  <si>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</si>
  <si>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</si>
  <si>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</si>
  <si>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</si>
  <si>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</si>
  <si>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</si>
  <si>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</si>
  <si>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</si>
  <si>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</si>
  <si>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</si>
  <si>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</si>
  <si>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</si>
  <si>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</si>
  <si>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</si>
  <si>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</si>
  <si>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</si>
  <si>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</si>
  <si>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</si>
  <si>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</si>
  <si>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</si>
  <si>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</si>
  <si>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</si>
  <si>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</si>
  <si>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</si>
  <si>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</si>
  <si>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</si>
  <si>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</si>
  <si>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</si>
  <si>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</si>
  <si>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</si>
  <si>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</si>
  <si>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</si>
  <si>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</si>
  <si>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</si>
  <si>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</si>
  <si>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</si>
  <si>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</si>
  <si>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</si>
  <si>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</si>
  <si>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</si>
  <si>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</si>
  <si>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</si>
  <si>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</si>
  <si>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</si>
  <si>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</si>
  <si>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</si>
  <si>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</si>
  <si>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</si>
  <si>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</si>
  <si>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</si>
  <si>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</si>
  <si>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</si>
  <si>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</si>
  <si>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</si>
  <si>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</si>
  <si>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</si>
  <si>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</si>
  <si>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</si>
  <si>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</si>
  <si>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</si>
  <si>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</si>
  <si>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</si>
  <si>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</si>
  <si>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</si>
  <si>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</si>
  <si>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</si>
  <si>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</si>
  <si>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</si>
  <si>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</si>
  <si>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</si>
  <si>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</si>
  <si>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</si>
  <si>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</si>
  <si>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</si>
  <si>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</si>
  <si>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</si>
  <si>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</si>
  <si>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</si>
  <si>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</si>
  <si>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</si>
  <si>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</si>
  <si>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</si>
  <si>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</si>
  <si>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</si>
  <si>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</si>
  <si>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</si>
  <si>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</si>
  <si>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</si>
  <si>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</si>
  <si>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</si>
  <si>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</si>
  <si>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</si>
  <si>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</si>
  <si>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</si>
  <si>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</si>
  <si>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</si>
  <si>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</si>
  <si>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</si>
  <si>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</si>
  <si>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</si>
  <si>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</si>
  <si>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</si>
  <si>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</si>
  <si>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</si>
  <si>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</si>
  <si>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</si>
  <si>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</si>
  <si>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</si>
  <si>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</si>
  <si>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</si>
  <si>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</si>
  <si>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</si>
  <si>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</si>
  <si>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</si>
  <si>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</si>
  <si>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</si>
  <si>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</si>
  <si>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</si>
  <si>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</si>
  <si>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</si>
  <si>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</si>
  <si>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</si>
  <si>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</si>
  <si>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</si>
  <si>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</si>
  <si>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</si>
  <si>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</si>
  <si>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</si>
  <si>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</si>
  <si>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</si>
  <si>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</si>
  <si>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</si>
  <si>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</si>
  <si>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</si>
  <si>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</si>
  <si>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</si>
  <si>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</si>
  <si>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</si>
  <si>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</si>
  <si>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</si>
  <si>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</si>
  <si>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</si>
  <si>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</si>
  <si>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</si>
  <si>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</si>
  <si>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</si>
  <si>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</si>
  <si>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</si>
  <si>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</si>
  <si>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</si>
  <si>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</si>
  <si>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</si>
  <si>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</si>
  <si>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</si>
  <si>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</si>
  <si>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</si>
  <si>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</si>
  <si>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</si>
  <si>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</si>
  <si>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</si>
  <si>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</si>
  <si>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</si>
  <si>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</si>
  <si>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</si>
  <si>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</si>
  <si>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</si>
  <si>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</si>
  <si>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</si>
  <si>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</si>
  <si>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</si>
  <si>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</si>
  <si>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</si>
  <si>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</si>
  <si>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</si>
  <si>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</si>
  <si>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</si>
  <si>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</si>
  <si>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</si>
  <si>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</si>
  <si>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</si>
  <si>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</si>
  <si>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</si>
  <si>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</si>
  <si>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</si>
  <si>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</si>
  <si>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</si>
  <si>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</si>
  <si>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</si>
  <si>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</si>
  <si>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</si>
  <si>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</si>
  <si>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</si>
  <si>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</si>
  <si>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</si>
  <si>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</si>
  <si>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</si>
  <si>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</si>
  <si>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</si>
  <si>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</si>
  <si>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</si>
  <si>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</si>
  <si>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</si>
  <si>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</si>
  <si>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</si>
  <si>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</si>
  <si>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</si>
  <si>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</si>
  <si>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</si>
  <si>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</si>
  <si>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</si>
  <si>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</si>
  <si>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</si>
  <si>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</si>
  <si>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</si>
  <si>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</si>
  <si>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</si>
  <si>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</si>
  <si>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</si>
  <si>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</si>
  <si>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</si>
  <si>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</si>
  <si>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</si>
  <si>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</si>
  <si>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</si>
  <si>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</si>
  <si>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</si>
  <si>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</si>
  <si>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</si>
  <si>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</si>
  <si>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</si>
  <si>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</si>
  <si>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</si>
  <si>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</si>
  <si>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</si>
  <si>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</si>
  <si>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</si>
  <si>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</si>
  <si>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</si>
  <si>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</si>
  <si>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</si>
  <si>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</si>
  <si>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</si>
  <si>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</si>
  <si>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</si>
  <si>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</si>
  <si>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</si>
  <si>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</si>
  <si>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</si>
  <si>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</si>
  <si>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</si>
  <si>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</si>
  <si>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</si>
  <si>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</si>
  <si>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</si>
  <si>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</si>
  <si>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</si>
  <si>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</si>
  <si>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</si>
  <si>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</si>
  <si>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</si>
  <si>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</si>
  <si>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</si>
  <si>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</si>
  <si>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</si>
  <si>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</si>
  <si>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</si>
  <si>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</si>
  <si>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</si>
  <si>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</si>
  <si>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</si>
  <si>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</si>
  <si>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</si>
  <si>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</si>
  <si>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</si>
  <si>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</si>
  <si>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</si>
  <si>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</si>
  <si>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</si>
  <si>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</si>
  <si>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</si>
  <si>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</si>
  <si>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</si>
  <si>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</si>
  <si>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</si>
  <si>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</si>
  <si>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</si>
  <si>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</si>
  <si>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</si>
  <si>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</si>
  <si>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</si>
  <si>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</si>
  <si>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</si>
  <si>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</si>
  <si>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</si>
  <si>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</si>
  <si>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</si>
  <si>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</si>
  <si>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</si>
  <si>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</si>
  <si>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</si>
  <si>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</si>
  <si>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</si>
  <si>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</si>
  <si>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</si>
  <si>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</si>
  <si>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</si>
  <si>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</si>
  <si>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</si>
  <si>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</si>
  <si>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</si>
  <si>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</si>
  <si>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</si>
  <si>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</si>
  <si>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</si>
  <si>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</si>
  <si>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</si>
  <si>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</si>
  <si>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</si>
  <si>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</si>
  <si>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</si>
  <si>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</si>
  <si>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</si>
  <si>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</si>
  <si>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</si>
  <si>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</si>
  <si>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</si>
  <si>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</si>
  <si>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</si>
  <si>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</si>
  <si>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</si>
  <si>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</si>
  <si>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</si>
  <si>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</si>
  <si>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</si>
  <si>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</si>
  <si>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</si>
  <si>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</si>
  <si>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</si>
  <si>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</si>
  <si>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</si>
  <si>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</si>
  <si>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</si>
  <si>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</si>
  <si>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</si>
  <si>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</si>
  <si>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</si>
  <si>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</si>
  <si>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</si>
  <si>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</si>
  <si>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</si>
  <si>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</si>
  <si>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</si>
  <si>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</si>
  <si>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</si>
  <si>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</si>
  <si>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</si>
  <si>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</si>
  <si>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</si>
  <si>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</si>
  <si>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</si>
  <si>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</si>
  <si>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</si>
  <si>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</si>
  <si>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</si>
  <si>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</si>
  <si>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</si>
  <si>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</si>
  <si>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</si>
  <si>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</si>
  <si>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</si>
  <si>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</si>
  <si>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</si>
  <si>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</si>
  <si>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</si>
  <si>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</si>
  <si>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</si>
  <si>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</si>
  <si>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</si>
  <si>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</si>
  <si>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</si>
  <si>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</si>
  <si>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</si>
  <si>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</si>
  <si>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</si>
  <si>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</si>
  <si>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</si>
  <si>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</si>
  <si>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</si>
  <si>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</si>
  <si>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</si>
  <si>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</si>
  <si>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</si>
  <si>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</si>
  <si>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</si>
  <si>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</si>
  <si>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</si>
  <si>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</si>
  <si>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</si>
  <si>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</si>
  <si>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</si>
  <si>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</si>
  <si>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</si>
  <si>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</si>
  <si>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</si>
  <si>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</si>
  <si>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</si>
  <si>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</si>
  <si>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</si>
  <si>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</si>
  <si>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</si>
  <si>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</si>
  <si>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</si>
  <si>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</si>
  <si>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</si>
  <si>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</si>
  <si>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</si>
  <si>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</si>
  <si>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</si>
  <si>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</si>
  <si>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</si>
  <si>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</si>
  <si>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</si>
  <si>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</si>
  <si>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</si>
  <si>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</si>
  <si>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</si>
  <si>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</si>
  <si>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</si>
  <si>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</si>
  <si>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</si>
  <si>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</si>
  <si>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</si>
  <si>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</si>
  <si>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</si>
  <si>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</si>
  <si>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</si>
  <si>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</si>
  <si>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</si>
  <si>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</si>
  <si>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</si>
  <si>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</si>
  <si>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</si>
  <si>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</si>
  <si>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</si>
  <si>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</si>
  <si>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</si>
  <si>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</si>
  <si>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</si>
  <si>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</si>
  <si>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</si>
  <si>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</si>
  <si>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</si>
  <si>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</si>
  <si>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</si>
  <si>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</si>
  <si>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</si>
  <si>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</si>
  <si>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</si>
  <si>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</si>
  <si>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</si>
  <si>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</si>
  <si>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</si>
  <si>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</si>
  <si>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</si>
  <si>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</si>
  <si>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</si>
  <si>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</si>
  <si>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</si>
  <si>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</si>
  <si>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</si>
  <si>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</si>
  <si>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</si>
  <si>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</si>
  <si>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</si>
  <si>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</si>
  <si>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</si>
  <si>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</si>
  <si>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</si>
  <si>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</si>
  <si>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</si>
  <si>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</si>
  <si>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</si>
  <si>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</si>
  <si>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</si>
  <si>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</si>
  <si>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</si>
  <si>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</si>
  <si>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</si>
  <si>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</si>
  <si>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</si>
  <si>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</si>
  <si>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</si>
  <si>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</si>
  <si>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</si>
  <si>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</si>
  <si>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</si>
  <si>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</si>
  <si>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</si>
  <si>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</si>
  <si>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</si>
  <si>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</si>
  <si>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</si>
  <si>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</si>
  <si>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</si>
  <si>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</si>
  <si>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</si>
  <si>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</si>
  <si>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</si>
  <si>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</si>
  <si>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</si>
  <si>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</si>
  <si>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</si>
  <si>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</si>
  <si>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</si>
  <si>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</si>
  <si>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</si>
  <si>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</si>
  <si>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</si>
  <si>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</si>
  <si>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</si>
  <si>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</si>
  <si>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</si>
  <si>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</si>
  <si>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</si>
  <si>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</si>
  <si>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</si>
  <si>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</si>
  <si>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</si>
  <si>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</si>
  <si>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</si>
  <si>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</si>
  <si>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</si>
  <si>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</si>
  <si>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</si>
  <si>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</si>
  <si>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</si>
  <si>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</si>
  <si>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</si>
  <si>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</si>
  <si>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</si>
  <si>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</si>
  <si>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</si>
  <si>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</si>
  <si>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</si>
  <si>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</si>
  <si>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</si>
  <si>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</si>
  <si>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</si>
  <si>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</si>
  <si>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</si>
  <si>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</si>
  <si>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</si>
  <si>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</si>
  <si>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</si>
  <si>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</si>
  <si>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</si>
  <si>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</si>
  <si>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</si>
  <si>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</si>
  <si>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</si>
  <si>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</si>
  <si>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</si>
  <si>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</si>
  <si>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</si>
  <si>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</si>
  <si>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</si>
  <si>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</si>
  <si>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</si>
  <si>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</si>
  <si>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</si>
  <si>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</si>
  <si>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</si>
  <si>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</si>
  <si>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</si>
  <si>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</si>
  <si>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</si>
  <si>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</si>
  <si>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</si>
  <si>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</si>
  <si>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</si>
  <si>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</si>
  <si>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</si>
  <si>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</si>
  <si>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</si>
  <si>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</si>
  <si>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</si>
  <si>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</si>
  <si>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</si>
  <si>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</si>
  <si>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</si>
  <si>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</si>
  <si>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</si>
  <si>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</si>
  <si>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</si>
  <si>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</si>
  <si>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</si>
  <si>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</si>
  <si>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</si>
  <si>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</si>
  <si>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</si>
  <si>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</si>
  <si>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</si>
  <si>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</si>
  <si>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</si>
  <si>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</si>
  <si>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</si>
  <si>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</si>
  <si>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</si>
  <si>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</si>
  <si>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</si>
  <si>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</si>
  <si>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</si>
  <si>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</si>
  <si>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</si>
  <si>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</si>
  <si>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</si>
  <si>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</si>
  <si>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</si>
  <si>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</si>
  <si>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</si>
  <si>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</si>
  <si>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</si>
  <si>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</si>
  <si>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</si>
  <si>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</si>
  <si>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</si>
  <si>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</si>
  <si>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</si>
  <si>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</si>
  <si>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</si>
  <si>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</si>
  <si>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</si>
  <si>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</si>
  <si>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</si>
  <si>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</si>
  <si>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</si>
  <si>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</si>
  <si>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</si>
  <si>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</si>
  <si>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</si>
  <si>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</si>
  <si>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</si>
  <si>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</si>
  <si>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</si>
  <si>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</si>
  <si>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</si>
  <si>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</si>
  <si>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</si>
  <si>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</si>
  <si>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</si>
  <si>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</si>
  <si>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</si>
  <si>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</si>
  <si>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</si>
  <si>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</si>
  <si>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</si>
  <si>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</si>
  <si>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</si>
  <si>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</si>
  <si>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</si>
  <si>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</si>
  <si>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</si>
  <si>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</si>
  <si>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</si>
  <si>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</si>
  <si>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</si>
  <si>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</si>
  <si>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</si>
  <si>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</si>
  <si>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</si>
  <si>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</si>
  <si>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</si>
  <si>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</si>
  <si>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</si>
  <si>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</si>
  <si>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</si>
  <si>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</si>
  <si>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</si>
  <si>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</si>
  <si>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</si>
  <si>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</si>
  <si>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</si>
  <si>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</si>
  <si>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</si>
  <si>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</si>
  <si>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</si>
  <si>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</si>
  <si>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</si>
  <si>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</si>
  <si>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</si>
  <si>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</si>
  <si>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</si>
  <si>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</si>
  <si>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</si>
  <si>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</si>
  <si>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</si>
  <si>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</si>
  <si>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</si>
  <si>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</si>
  <si>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</si>
  <si>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</si>
  <si>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</si>
  <si>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</si>
  <si>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</si>
  <si>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</si>
  <si>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</si>
  <si>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</si>
  <si>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</si>
  <si>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</si>
  <si>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</si>
  <si>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</si>
  <si>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</si>
  <si>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</si>
  <si>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</si>
  <si>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</si>
  <si>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</si>
  <si>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</si>
  <si>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</si>
  <si>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</si>
  <si>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</si>
  <si>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</si>
  <si>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</si>
  <si>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</si>
  <si>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</si>
  <si>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</si>
  <si>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</si>
  <si>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</si>
  <si>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</si>
  <si>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</si>
  <si>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</si>
  <si>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</si>
  <si>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</si>
  <si>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</si>
  <si>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</si>
  <si>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</si>
  <si>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</si>
  <si>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</si>
  <si>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</si>
  <si>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</si>
  <si>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</si>
  <si>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</si>
  <si>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</si>
  <si>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</si>
  <si>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</si>
  <si>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</si>
  <si>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</si>
  <si>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</si>
  <si>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</si>
  <si>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</si>
  <si>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</si>
  <si>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</si>
  <si>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</si>
  <si>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</si>
  <si>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</si>
  <si>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</si>
  <si>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</si>
  <si>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</si>
  <si>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</si>
  <si>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</si>
  <si>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</si>
  <si>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</si>
  <si>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</si>
  <si>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</si>
  <si>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</si>
  <si>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</si>
  <si>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</si>
  <si>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</si>
  <si>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</si>
  <si>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</si>
  <si>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</si>
  <si>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</si>
  <si>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</si>
  <si>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</si>
  <si>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</si>
  <si>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</si>
  <si>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</si>
  <si>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</si>
  <si>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</si>
  <si>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</si>
  <si>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</si>
  <si>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</si>
  <si>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</si>
  <si>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</si>
  <si>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</si>
  <si>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</si>
  <si>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</si>
  <si>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</si>
  <si>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</si>
  <si>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</si>
  <si>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</si>
  <si>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</si>
  <si>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</si>
  <si>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</si>
  <si>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</si>
  <si>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</si>
  <si>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</si>
  <si>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</si>
  <si>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</si>
  <si>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</si>
  <si>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</si>
  <si>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</si>
  <si>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</si>
  <si>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</si>
  <si>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</si>
  <si>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</si>
  <si>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</si>
  <si>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</si>
  <si>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</si>
  <si>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</si>
  <si>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</si>
  <si>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</si>
  <si>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</si>
  <si>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</si>
  <si>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</si>
  <si>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</si>
  <si>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</si>
  <si>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</si>
  <si>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</si>
  <si>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</si>
  <si>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</si>
  <si>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</si>
  <si>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</si>
  <si>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</si>
  <si>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</si>
  <si>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</si>
  <si>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</si>
  <si>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</si>
  <si>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</si>
  <si>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</si>
  <si>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</si>
  <si>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</si>
  <si>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</si>
  <si>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</si>
  <si>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</si>
  <si>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</si>
  <si>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</si>
  <si>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</si>
  <si>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</si>
  <si>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</si>
  <si>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</si>
  <si>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</si>
  <si>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</si>
  <si>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</si>
  <si>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</si>
  <si>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</si>
  <si>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</si>
  <si>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</si>
  <si>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</si>
  <si>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</si>
  <si>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</si>
  <si>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</si>
  <si>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</si>
  <si>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</si>
  <si>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</si>
  <si>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</si>
  <si>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</si>
  <si>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</si>
  <si>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</si>
  <si>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</si>
  <si>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</si>
  <si>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</si>
  <si>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</si>
  <si>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</si>
  <si>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</si>
  <si>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</si>
  <si>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</si>
  <si>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</si>
  <si>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</si>
  <si>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</si>
  <si>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</si>
  <si>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</si>
  <si>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</si>
  <si>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</si>
  <si>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</si>
  <si>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</si>
  <si>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</si>
  <si>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</si>
  <si>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</si>
  <si>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</si>
  <si>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</si>
  <si>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</si>
  <si>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</si>
  <si>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</si>
  <si>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</si>
  <si>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</si>
  <si>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</si>
  <si>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</si>
  <si>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</si>
  <si>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</si>
  <si>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</si>
  <si>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</si>
  <si>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</si>
  <si>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</si>
  <si>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</si>
  <si>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</si>
  <si>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</si>
  <si>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</si>
  <si>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</si>
  <si>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</si>
  <si>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</si>
  <si>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</si>
  <si>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</si>
  <si>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</si>
  <si>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</si>
  <si>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</si>
  <si>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</si>
  <si>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</si>
  <si>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</si>
  <si>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</si>
  <si>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</si>
  <si>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</si>
  <si>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</si>
  <si>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</si>
  <si>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</si>
  <si>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</si>
  <si>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</si>
  <si>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</si>
  <si>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</si>
  <si>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</si>
  <si>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</si>
  <si>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</si>
  <si>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</si>
  <si>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</si>
  <si>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</si>
  <si>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</si>
  <si>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</si>
  <si>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</si>
  <si>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</si>
  <si>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</si>
  <si>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</si>
  <si>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</si>
  <si>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</si>
  <si>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</si>
  <si>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</si>
  <si>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</si>
  <si>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</si>
  <si>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</si>
  <si>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</si>
  <si>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</si>
  <si>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</si>
  <si>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</si>
  <si>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</si>
  <si>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</si>
  <si>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</si>
  <si>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</si>
  <si>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</si>
  <si>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</si>
  <si>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</si>
  <si>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</si>
  <si>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</si>
  <si>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</si>
  <si>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</si>
  <si>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</si>
  <si>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</si>
  <si>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</si>
  <si>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</si>
  <si>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</si>
  <si>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</si>
  <si>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</si>
  <si>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</si>
  <si>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</si>
  <si>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</si>
  <si>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</si>
  <si>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</si>
  <si>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</si>
  <si>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</si>
  <si>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</si>
  <si>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</si>
  <si>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</si>
  <si>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</si>
  <si>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</si>
  <si>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</si>
  <si>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</si>
  <si>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</si>
  <si>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</si>
  <si>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</si>
  <si>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</si>
  <si>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</si>
  <si>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</si>
  <si>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</si>
  <si>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</si>
  <si>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</si>
  <si>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</si>
  <si>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</si>
  <si>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</si>
  <si>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</si>
  <si>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</si>
  <si>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</si>
  <si>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</si>
  <si>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</si>
  <si>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</si>
  <si>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</si>
  <si>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</si>
  <si>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</si>
  <si>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</si>
  <si>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</si>
  <si>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</si>
  <si>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</si>
  <si>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</si>
  <si>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</si>
  <si>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</si>
  <si>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</si>
  <si>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</si>
  <si>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</si>
  <si>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</si>
  <si>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</si>
  <si>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</si>
  <si>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</si>
  <si>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</si>
  <si>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</si>
  <si>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</si>
  <si>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</si>
  <si>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</si>
  <si>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</si>
  <si>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</si>
  <si>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</si>
  <si>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</si>
  <si>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</si>
  <si>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</si>
  <si>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</si>
  <si>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</si>
  <si>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</si>
  <si>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</si>
  <si>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</si>
  <si>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</si>
  <si>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</si>
  <si>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</si>
  <si>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</si>
  <si>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</si>
  <si>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</si>
  <si>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</si>
  <si>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</si>
  <si>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</si>
  <si>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</si>
  <si>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</si>
  <si>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</si>
  <si>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</si>
  <si>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</si>
  <si>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</si>
  <si>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</si>
  <si>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</si>
  <si>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</si>
  <si>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</si>
  <si>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</si>
  <si>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</si>
  <si>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</si>
  <si>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</si>
  <si>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</si>
  <si>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</si>
  <si>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</si>
  <si>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</si>
  <si>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</si>
  <si>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</si>
  <si>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</si>
  <si>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</si>
  <si>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</si>
  <si>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</si>
  <si>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</si>
  <si>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</si>
  <si>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</si>
  <si>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</si>
  <si>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</si>
  <si>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</si>
  <si>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</si>
  <si>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</si>
  <si>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</si>
  <si>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</si>
  <si>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</si>
  <si>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</si>
  <si>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</si>
  <si>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</si>
  <si>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</si>
  <si>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</si>
  <si>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</si>
  <si>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</si>
  <si>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</si>
  <si>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</si>
  <si>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</si>
  <si>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</si>
  <si>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</si>
  <si>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</si>
  <si>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</si>
  <si>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</si>
  <si>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</si>
  <si>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</si>
  <si>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</si>
  <si>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</si>
  <si>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</si>
  <si>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</si>
  <si>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</si>
  <si>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</si>
  <si>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</si>
  <si>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</si>
  <si>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</si>
  <si>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</si>
  <si>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</si>
  <si>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</si>
  <si>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</si>
  <si>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</si>
  <si>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</si>
  <si>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</si>
  <si>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</si>
  <si>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</si>
  <si>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</si>
  <si>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</si>
  <si>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</si>
  <si>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</si>
  <si>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</si>
  <si>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</si>
  <si>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</si>
  <si>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</si>
  <si>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</si>
  <si>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</si>
  <si>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</si>
  <si>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</si>
  <si>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</si>
  <si>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</si>
  <si>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</si>
  <si>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</si>
  <si>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</si>
  <si>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</si>
  <si>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</si>
  <si>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</si>
  <si>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</si>
  <si>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</si>
  <si>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</si>
  <si>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</si>
  <si>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</si>
  <si>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</si>
  <si>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</si>
  <si>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</si>
  <si>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</si>
  <si>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</si>
  <si>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</si>
  <si>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</si>
  <si>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</si>
  <si>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</si>
  <si>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</si>
  <si>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</si>
  <si>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</si>
  <si>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</si>
  <si>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</si>
  <si>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</si>
  <si>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</si>
  <si>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</si>
  <si>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</si>
  <si>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</si>
  <si>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</si>
  <si>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</si>
  <si>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</si>
  <si>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</si>
  <si>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</si>
  <si>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</si>
  <si>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</si>
  <si>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</si>
  <si>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</si>
  <si>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</si>
  <si>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</si>
  <si>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</si>
  <si>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</si>
  <si>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</si>
  <si>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</si>
  <si>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</si>
  <si>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</si>
  <si>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</si>
  <si>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</si>
  <si>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</si>
  <si>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</si>
  <si>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</si>
  <si>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</si>
  <si>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</si>
  <si>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</si>
  <si>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</si>
  <si>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</si>
  <si>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</si>
  <si>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</si>
  <si>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</si>
  <si>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</si>
  <si>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</si>
  <si>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</si>
  <si>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</si>
  <si>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</si>
  <si>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</si>
  <si>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</si>
  <si>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</si>
  <si>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</si>
  <si>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</si>
  <si>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</si>
  <si>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</si>
  <si>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</si>
  <si>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</si>
  <si>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</si>
  <si>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</si>
  <si>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</si>
  <si>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</si>
  <si>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</si>
  <si>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</si>
  <si>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</si>
  <si>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</si>
  <si>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</si>
  <si>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</si>
  <si>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</si>
  <si>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</si>
  <si>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</si>
  <si>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</si>
  <si>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</si>
  <si>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</si>
  <si>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</si>
  <si>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</si>
  <si>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</si>
  <si>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</si>
  <si>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</si>
  <si>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</si>
  <si>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</si>
  <si>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</si>
  <si>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</si>
  <si>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</si>
  <si>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</si>
  <si>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</si>
  <si>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</si>
  <si>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</si>
  <si>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</si>
  <si>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</si>
  <si>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</si>
  <si>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</si>
  <si>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</si>
  <si>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</si>
  <si>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</si>
  <si>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</si>
  <si>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</si>
  <si>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</si>
  <si>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</si>
  <si>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</si>
  <si>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</si>
  <si>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</si>
  <si>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</si>
  <si>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</si>
  <si>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</si>
  <si>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</si>
  <si>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</si>
  <si>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</si>
  <si>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</si>
  <si>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</si>
  <si>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</si>
  <si>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</si>
  <si>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</si>
  <si>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</si>
  <si>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</si>
  <si>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</si>
  <si>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</si>
  <si>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</si>
  <si>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</si>
  <si>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</si>
  <si>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</si>
  <si>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</si>
  <si>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</si>
  <si>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</si>
  <si>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</si>
  <si>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</si>
  <si>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</si>
  <si>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</si>
  <si>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</si>
  <si>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</si>
  <si>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</si>
  <si>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</si>
  <si>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</si>
  <si>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</si>
  <si>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</si>
  <si>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</si>
  <si>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</si>
  <si>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</si>
  <si>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</si>
  <si>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</si>
  <si>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</si>
  <si>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</si>
  <si>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</si>
  <si>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</si>
  <si>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</si>
  <si>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</si>
  <si>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</si>
  <si>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</si>
  <si>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</si>
  <si>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</si>
  <si>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</si>
  <si>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</si>
  <si>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</si>
  <si>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</si>
  <si>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</si>
  <si>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</si>
  <si>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</si>
  <si>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</si>
  <si>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</si>
  <si>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</si>
  <si>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</si>
  <si>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</si>
  <si>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</si>
  <si>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</si>
  <si>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</si>
  <si>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</si>
  <si>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</si>
  <si>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</si>
  <si>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</si>
  <si>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</si>
  <si>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</si>
  <si>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</si>
  <si>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</si>
  <si>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</si>
  <si>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</si>
  <si>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</si>
  <si>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</si>
  <si>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</si>
  <si>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</si>
  <si>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</si>
  <si>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</si>
  <si>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</si>
  <si>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</si>
  <si>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</si>
  <si>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</si>
  <si>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</si>
  <si>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</si>
  <si>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</si>
  <si>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</si>
  <si>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</si>
  <si>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</si>
  <si>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</si>
  <si>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</si>
  <si>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</si>
  <si>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</si>
  <si>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</si>
  <si>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</si>
  <si>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</si>
  <si>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</si>
  <si>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</si>
  <si>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</si>
  <si>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</si>
  <si>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</si>
  <si>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</si>
  <si>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</si>
  <si>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</si>
  <si>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</si>
  <si>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</si>
  <si>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</si>
  <si>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</si>
  <si>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</si>
  <si>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</si>
  <si>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</si>
  <si>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</si>
  <si>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</si>
  <si>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</si>
  <si>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</si>
  <si>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</si>
  <si>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</si>
  <si>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</si>
  <si>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</si>
  <si>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</si>
  <si>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</si>
  <si>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</si>
  <si>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</si>
  <si>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</si>
  <si>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</si>
  <si>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</si>
  <si>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</si>
  <si>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</si>
  <si>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</si>
  <si>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</si>
  <si>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</si>
  <si>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</si>
  <si>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</si>
  <si>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</si>
  <si>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</si>
  <si>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</si>
  <si>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</si>
  <si>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</si>
  <si>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</si>
  <si>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</si>
  <si>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</si>
  <si>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</si>
  <si>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</si>
  <si>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</si>
  <si>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</si>
  <si>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</si>
  <si>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</si>
  <si>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</si>
  <si>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</si>
  <si>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</si>
  <si>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</si>
  <si>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</si>
  <si>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</si>
  <si>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</si>
  <si>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</si>
  <si>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</si>
  <si>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</si>
  <si>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</si>
  <si>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</si>
  <si>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</si>
  <si>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</si>
  <si>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</si>
  <si>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</si>
  <si>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</si>
  <si>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</si>
  <si>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</si>
  <si>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</si>
  <si>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</si>
  <si>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</si>
  <si>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</si>
  <si>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</si>
  <si>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</si>
  <si>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</si>
  <si>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</si>
  <si>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</si>
  <si>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</si>
  <si>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</si>
  <si>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</si>
  <si>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</si>
  <si>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</si>
  <si>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</si>
  <si>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</si>
  <si>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</si>
  <si>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</si>
  <si>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</si>
  <si>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</si>
  <si>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</si>
  <si>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</si>
  <si>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</si>
  <si>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</si>
  <si>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</si>
  <si>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</si>
  <si>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</si>
  <si>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</si>
  <si>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</si>
  <si>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</si>
  <si>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</si>
  <si>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</si>
  <si>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</si>
  <si>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</si>
  <si>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</si>
  <si>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</si>
  <si>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</si>
  <si>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</si>
  <si>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</si>
  <si>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</si>
  <si>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</si>
  <si>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</si>
  <si>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</si>
  <si>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</si>
  <si>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</si>
  <si>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</si>
  <si>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</si>
  <si>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</si>
  <si>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</si>
  <si>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</si>
  <si>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</si>
  <si>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</si>
  <si>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</si>
  <si>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</si>
  <si>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</si>
  <si>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</si>
  <si>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</si>
  <si>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</si>
  <si>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</si>
  <si>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</si>
  <si>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</si>
  <si>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</si>
  <si>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</si>
  <si>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</si>
  <si>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</si>
  <si>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</si>
  <si>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</si>
  <si>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</si>
  <si>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</si>
  <si>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</si>
  <si>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</si>
  <si>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</si>
  <si>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</si>
  <si>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</si>
  <si>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</si>
  <si>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</si>
  <si>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</si>
  <si>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</si>
  <si>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</si>
  <si>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</si>
  <si>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</si>
  <si>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</si>
  <si>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</si>
  <si>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</si>
  <si>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</si>
  <si>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</si>
  <si>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</si>
  <si>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</si>
  <si>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</si>
  <si>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</si>
  <si>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</si>
  <si>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</si>
  <si>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</si>
  <si>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</si>
  <si>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</si>
  <si>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</si>
  <si>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</si>
  <si>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</si>
  <si>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</si>
  <si>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</si>
  <si>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</si>
  <si>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</si>
  <si>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</si>
  <si>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</si>
  <si>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</si>
  <si>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</si>
  <si>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</si>
  <si>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</si>
  <si>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</si>
  <si>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</si>
  <si>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</si>
  <si>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</si>
  <si>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</si>
  <si>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</si>
  <si>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</si>
  <si>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</si>
  <si>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</si>
  <si>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</si>
  <si>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</si>
  <si>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</si>
  <si>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</si>
  <si>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</si>
  <si>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</si>
  <si>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</si>
  <si>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</si>
  <si>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</si>
  <si>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</si>
  <si>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</si>
  <si>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</si>
  <si>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</si>
  <si>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</si>
  <si>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</si>
  <si>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</si>
  <si>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</si>
  <si>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</si>
  <si>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</si>
  <si>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</si>
  <si>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</si>
  <si>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</si>
  <si>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</si>
  <si>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</si>
  <si>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</si>
  <si>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</si>
  <si>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</si>
  <si>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</si>
  <si>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</si>
  <si>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</si>
  <si>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</si>
  <si>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</si>
  <si>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</si>
  <si>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</si>
  <si>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</si>
  <si>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</si>
  <si>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</si>
  <si>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</si>
  <si>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</si>
  <si>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</si>
  <si>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</si>
  <si>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</si>
  <si>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</si>
  <si>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</si>
  <si>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</si>
  <si>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</si>
  <si>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</si>
  <si>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</si>
  <si>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</si>
  <si>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</si>
  <si>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</si>
  <si>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</si>
  <si>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</si>
  <si>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</si>
  <si>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</si>
  <si>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</si>
  <si>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</si>
  <si>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</si>
  <si>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</si>
  <si>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</si>
  <si>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</si>
  <si>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</si>
  <si>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</si>
  <si>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</si>
  <si>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</si>
  <si>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</si>
  <si>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</si>
  <si>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</si>
  <si>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</si>
  <si>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</si>
  <si>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</si>
  <si>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</si>
  <si>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</si>
  <si>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</si>
  <si>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</si>
  <si>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</si>
  <si>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</si>
  <si>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</si>
  <si>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</si>
  <si>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</si>
  <si>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</si>
  <si>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</si>
  <si>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</si>
  <si>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</si>
  <si>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</si>
  <si>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</si>
  <si>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</si>
  <si>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</si>
  <si>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</si>
  <si>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</si>
  <si>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</si>
  <si>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</si>
  <si>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</si>
  <si>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</si>
  <si>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</si>
  <si>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</si>
  <si>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</si>
  <si>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</si>
  <si>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</si>
  <si>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</si>
  <si>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</si>
  <si>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</si>
  <si>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</si>
  <si>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</si>
  <si>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</si>
  <si>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</si>
  <si>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</si>
  <si>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</si>
  <si>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</si>
  <si>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</si>
  <si>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</si>
  <si>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</si>
  <si>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</si>
  <si>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</si>
  <si>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</si>
  <si>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</si>
  <si>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</si>
  <si>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</si>
  <si>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</si>
  <si>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</si>
  <si>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</si>
  <si>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</si>
  <si>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</si>
  <si>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</si>
  <si>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</si>
  <si>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</si>
  <si>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</si>
  <si>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</si>
  <si>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</si>
  <si>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</si>
  <si>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</si>
  <si>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</si>
  <si>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</si>
  <si>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</si>
  <si>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</si>
  <si>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</si>
  <si>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</si>
  <si>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</si>
  <si>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</si>
  <si>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</si>
  <si>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</si>
  <si>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</si>
  <si>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</si>
  <si>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</si>
  <si>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</si>
  <si>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</si>
  <si>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</si>
  <si>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</si>
  <si>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</si>
  <si>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</si>
  <si>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</si>
  <si>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</si>
  <si>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</si>
  <si>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</si>
  <si>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</si>
  <si>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</si>
  <si>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</si>
  <si>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</si>
  <si>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</si>
  <si>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</si>
  <si>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</si>
  <si>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</si>
  <si>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</si>
  <si>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</si>
  <si>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</si>
  <si>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</si>
  <si>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</si>
  <si>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</si>
  <si>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</si>
  <si>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</si>
  <si>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</si>
  <si>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</si>
  <si>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</si>
  <si>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</si>
  <si>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</si>
  <si>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</si>
  <si>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</si>
  <si>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</si>
  <si>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</si>
  <si>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</si>
  <si>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</si>
  <si>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</si>
  <si>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</si>
  <si>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</si>
  <si>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</si>
  <si>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</si>
  <si>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</si>
  <si>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</si>
  <si>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</si>
  <si>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</si>
  <si>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</si>
  <si>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</si>
  <si>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</si>
  <si>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</si>
  <si>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</si>
  <si>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</si>
  <si>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</si>
  <si>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</si>
  <si>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</si>
  <si>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</si>
  <si>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</si>
  <si>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</si>
  <si>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</si>
  <si>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</si>
  <si>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</si>
  <si>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</si>
  <si>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</si>
  <si>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</si>
  <si>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</si>
  <si>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</si>
  <si>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</si>
  <si>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</si>
  <si>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</si>
  <si>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</si>
  <si>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</si>
  <si>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</si>
  <si>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</si>
  <si>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</si>
  <si>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</si>
  <si>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</si>
  <si>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</si>
  <si>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</si>
  <si>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</si>
  <si>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</si>
  <si>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</si>
  <si>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</si>
  <si>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</si>
  <si>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</si>
  <si>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</si>
  <si>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</si>
  <si>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</si>
  <si>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</si>
  <si>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</si>
  <si>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</si>
  <si>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</si>
  <si>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</si>
  <si>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</si>
  <si>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</si>
  <si>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</si>
  <si>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</si>
  <si>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</si>
  <si>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</si>
  <si>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</si>
  <si>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</si>
  <si>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</si>
  <si>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</si>
  <si>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</si>
  <si>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</si>
  <si>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</si>
  <si>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</si>
  <si>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</si>
  <si>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</si>
  <si>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</si>
  <si>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</si>
  <si>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</si>
  <si>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</si>
  <si>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</si>
  <si>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</si>
  <si>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</si>
  <si>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</si>
  <si>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</si>
  <si>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</si>
  <si>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</si>
  <si>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</si>
  <si>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</si>
  <si>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</si>
  <si>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</si>
  <si>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</si>
  <si>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</si>
  <si>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</si>
  <si>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</si>
  <si>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</si>
  <si>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</si>
  <si>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</si>
  <si>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</si>
  <si>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</si>
  <si>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</si>
  <si>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</si>
  <si>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</si>
  <si>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</si>
  <si>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</si>
  <si>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</si>
  <si>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</si>
  <si>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</si>
  <si>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</si>
  <si>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</si>
  <si>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</si>
  <si>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</si>
  <si>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</si>
  <si>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</si>
  <si>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</si>
  <si>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</si>
  <si>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</si>
  <si>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</si>
  <si>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</si>
  <si>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</si>
  <si>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</si>
  <si>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</si>
  <si>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</si>
  <si>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</si>
  <si>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</si>
  <si>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</si>
  <si>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</si>
  <si>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</si>
  <si>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</si>
  <si>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</si>
  <si>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</si>
  <si>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</si>
  <si>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</si>
  <si>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</si>
  <si>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</si>
  <si>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</si>
  <si>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</si>
  <si>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</si>
  <si>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</si>
  <si>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</si>
  <si>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</si>
  <si>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</si>
  <si>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</si>
  <si>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</si>
  <si>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</si>
  <si>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</si>
  <si>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</si>
  <si>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</si>
  <si>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</si>
  <si>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</si>
  <si>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</si>
  <si>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</si>
  <si>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</si>
  <si>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</si>
  <si>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</si>
  <si>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</si>
  <si>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</si>
  <si>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</si>
  <si>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</si>
  <si>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</si>
  <si>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</si>
  <si>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</si>
  <si>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</si>
  <si>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</si>
  <si>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</si>
  <si>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</si>
  <si>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</si>
  <si>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</si>
  <si>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</si>
  <si>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</si>
  <si>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</si>
  <si>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</si>
  <si>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</si>
  <si>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</si>
  <si>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</si>
  <si>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</si>
  <si>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</si>
  <si>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</si>
  <si>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</si>
  <si>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</si>
  <si>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</si>
  <si>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</si>
  <si>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</si>
  <si>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</si>
  <si>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</si>
  <si>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</si>
  <si>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</si>
  <si>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</si>
  <si>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</si>
  <si>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</si>
  <si>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</si>
  <si>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</si>
  <si>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</si>
  <si>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</si>
  <si>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</si>
  <si>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</si>
  <si>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</si>
  <si>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</si>
  <si>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</si>
  <si>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</si>
  <si>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</si>
  <si>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</si>
  <si>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</si>
  <si>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</si>
  <si>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</si>
  <si>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</si>
  <si>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</si>
  <si>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</si>
  <si>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</si>
  <si>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</si>
  <si>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</si>
  <si>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</si>
  <si>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</si>
  <si>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</si>
  <si>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</si>
  <si>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</si>
  <si>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</si>
  <si>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</si>
  <si>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</si>
  <si>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</si>
  <si>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</si>
  <si>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</si>
  <si>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</si>
  <si>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</si>
  <si>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</si>
  <si>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</si>
  <si>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</si>
  <si>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</si>
  <si>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</si>
  <si>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</si>
  <si>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</si>
  <si>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</si>
  <si>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</si>
  <si>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</si>
  <si>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</si>
  <si>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</si>
  <si>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</si>
  <si>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</si>
  <si>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</si>
  <si>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</si>
  <si>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</si>
  <si>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</si>
  <si>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</si>
  <si>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</si>
  <si>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</si>
  <si>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</si>
  <si>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</si>
  <si>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</si>
  <si>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</si>
  <si>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</si>
  <si>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</si>
  <si>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</si>
  <si>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</si>
  <si>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</si>
  <si>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</si>
  <si>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</si>
  <si>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</si>
  <si>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</si>
  <si>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</si>
  <si>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</si>
  <si>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</si>
  <si>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</si>
  <si>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</si>
  <si>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</si>
  <si>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</si>
  <si>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</si>
  <si>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</si>
  <si>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</si>
  <si>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</si>
  <si>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</si>
  <si>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</si>
  <si>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</si>
  <si>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</si>
  <si>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</si>
  <si>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</si>
  <si>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</si>
  <si>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</si>
  <si>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</si>
  <si>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</si>
  <si>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</si>
  <si>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</si>
  <si>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</si>
  <si>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</si>
  <si>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</si>
  <si>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</si>
  <si>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</si>
  <si>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</si>
  <si>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</si>
  <si>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</si>
  <si>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</si>
  <si>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</si>
  <si>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</si>
  <si>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</si>
  <si>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</si>
  <si>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</si>
  <si>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</si>
  <si>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</si>
  <si>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</si>
  <si>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</si>
  <si>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</si>
  <si>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</si>
  <si>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</si>
  <si>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</si>
  <si>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</si>
  <si>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</si>
  <si>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</si>
  <si>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</si>
  <si>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</si>
  <si>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</si>
  <si>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</si>
  <si>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</si>
  <si>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</si>
  <si>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</si>
  <si>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</si>
  <si>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</si>
  <si>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</si>
  <si>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</si>
  <si>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</si>
  <si>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</si>
  <si>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</si>
  <si>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</si>
  <si>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</si>
  <si>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</si>
  <si>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</si>
  <si>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</si>
  <si>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</si>
  <si>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</si>
  <si>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</si>
  <si>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</si>
  <si>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</si>
  <si>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</si>
  <si>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</si>
  <si>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</si>
  <si>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</si>
  <si>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</si>
  <si>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</si>
  <si>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</si>
  <si>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</si>
  <si>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</si>
  <si>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</si>
  <si>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</si>
  <si>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</si>
  <si>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</si>
  <si>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</si>
  <si>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</si>
  <si>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</si>
  <si>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</si>
  <si>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</si>
  <si>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</si>
  <si>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</si>
  <si>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</si>
  <si>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</si>
  <si>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</si>
  <si>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</si>
  <si>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</si>
  <si>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</si>
  <si>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</si>
  <si>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</si>
  <si>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</si>
  <si>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</si>
  <si>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</si>
  <si>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</si>
  <si>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</si>
  <si>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</si>
  <si>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</si>
  <si>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</si>
  <si>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</si>
  <si>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</si>
  <si>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</si>
  <si>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</si>
  <si>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</si>
  <si>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</si>
  <si>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</si>
  <si>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</si>
  <si>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</si>
  <si>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</si>
  <si>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</si>
  <si>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</si>
  <si>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</si>
  <si>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</si>
  <si>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</si>
  <si>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</si>
  <si>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</si>
  <si>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</si>
  <si>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</si>
  <si>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</si>
  <si>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</si>
  <si>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</si>
  <si>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</si>
  <si>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</si>
  <si>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</si>
  <si>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</si>
  <si>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</si>
  <si>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</si>
  <si>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</si>
  <si>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</si>
  <si>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</si>
  <si>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</si>
  <si>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</si>
  <si>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</si>
  <si>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</si>
  <si>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</si>
  <si>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</si>
  <si>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</si>
  <si>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</si>
  <si>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</si>
  <si>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</si>
  <si>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</si>
  <si>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</si>
  <si>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</si>
  <si>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</si>
  <si>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</si>
  <si>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</si>
  <si>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</si>
  <si>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</si>
  <si>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</si>
  <si>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</si>
  <si>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</si>
  <si>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</si>
  <si>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</si>
  <si>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</si>
  <si>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</si>
  <si>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</si>
  <si>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</si>
  <si>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</si>
  <si>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</si>
  <si>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</si>
  <si>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</si>
  <si>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</si>
  <si>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</si>
  <si>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</si>
  <si>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</si>
  <si>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</si>
  <si>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</si>
  <si>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</si>
  <si>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</si>
  <si>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</si>
  <si>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</si>
  <si>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</si>
  <si>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</si>
  <si>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</si>
  <si>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</si>
  <si>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</si>
  <si>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</si>
  <si>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</si>
  <si>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</si>
  <si>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</si>
  <si>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</si>
  <si>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</si>
  <si>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</si>
  <si>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</si>
  <si>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</si>
  <si>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</si>
  <si>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</si>
  <si>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</si>
  <si>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</si>
  <si>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</si>
  <si>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</si>
  <si>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</si>
  <si>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</si>
  <si>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</si>
  <si>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</si>
  <si>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</si>
  <si>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</si>
  <si>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</si>
  <si>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</si>
  <si>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</si>
  <si>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</si>
  <si>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</si>
  <si>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</si>
  <si>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</si>
  <si>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</si>
  <si>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</si>
  <si>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</si>
  <si>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</si>
  <si>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</si>
  <si>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</si>
  <si>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</si>
  <si>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</si>
  <si>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</si>
  <si>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</si>
  <si>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</si>
  <si>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</si>
  <si>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</si>
  <si>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</si>
  <si>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</si>
  <si>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</si>
  <si>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</si>
  <si>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</si>
  <si>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</si>
  <si>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</si>
  <si>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</si>
  <si>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</si>
  <si>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</si>
  <si>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</si>
  <si>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</si>
  <si>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</si>
  <si>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</si>
  <si>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</si>
  <si>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</si>
  <si>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</si>
  <si>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</si>
  <si>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</si>
  <si>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</si>
  <si>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</si>
  <si>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</si>
  <si>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</si>
  <si>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</si>
  <si>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</si>
  <si>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</si>
  <si>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</si>
  <si>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</si>
  <si>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</si>
  <si>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</si>
  <si>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</si>
  <si>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</si>
  <si>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</si>
  <si>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</si>
  <si>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</si>
  <si>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</si>
  <si>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</si>
  <si>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</si>
  <si>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</si>
  <si>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</si>
  <si>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</si>
  <si>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</si>
  <si>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</si>
  <si>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</si>
  <si>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</si>
  <si>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</si>
  <si>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</si>
  <si>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</si>
  <si>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</si>
  <si>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</si>
  <si>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</si>
  <si>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</si>
  <si>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</si>
  <si>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</si>
  <si>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</si>
  <si>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</si>
  <si>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</si>
  <si>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</si>
  <si>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</si>
  <si>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</si>
  <si>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</si>
  <si>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</si>
  <si>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</si>
  <si>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</si>
  <si>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</si>
  <si>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</si>
  <si>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</si>
  <si>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</si>
  <si>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</si>
  <si>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</si>
  <si>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</si>
  <si>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</si>
  <si>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</si>
  <si>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</si>
  <si>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</si>
  <si>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</si>
  <si>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</si>
  <si>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</si>
  <si>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</si>
  <si>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</si>
  <si>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</si>
  <si>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</si>
  <si>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</si>
  <si>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</si>
  <si>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</si>
  <si>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</si>
  <si>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</si>
  <si>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</si>
  <si>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</si>
  <si>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</si>
  <si>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</si>
  <si>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</si>
  <si>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</si>
  <si>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</si>
  <si>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</si>
  <si>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</si>
  <si>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</si>
  <si>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</si>
  <si>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</si>
  <si>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</si>
  <si>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</si>
  <si>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</si>
  <si>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</si>
  <si>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</si>
  <si>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</si>
  <si>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</si>
  <si>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</si>
  <si>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</si>
  <si>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</si>
  <si>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</si>
  <si>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</si>
  <si>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</si>
  <si>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</si>
  <si>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</si>
  <si>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</si>
  <si>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</si>
  <si>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</si>
  <si>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</si>
  <si>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</si>
  <si>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</si>
  <si>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</si>
  <si>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</si>
  <si>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</si>
  <si>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</si>
  <si>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</si>
  <si>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</si>
  <si>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</si>
  <si>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</si>
  <si>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</si>
  <si>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</si>
  <si>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</si>
  <si>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</si>
  <si>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</si>
  <si>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</si>
  <si>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</si>
  <si>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</si>
  <si>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</si>
  <si>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</si>
  <si>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</si>
  <si>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</si>
  <si>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</si>
  <si>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</si>
  <si>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</si>
  <si>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</si>
  <si>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</si>
  <si>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</si>
  <si>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</si>
  <si>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</si>
  <si>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</si>
  <si>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</si>
  <si>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</si>
  <si>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</si>
  <si>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</si>
  <si>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</si>
  <si>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</si>
  <si>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</si>
  <si>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</si>
  <si>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</si>
  <si>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</si>
  <si>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</si>
  <si>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</si>
  <si>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</si>
  <si>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</si>
  <si>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</si>
  <si>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</si>
  <si>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</si>
  <si>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</si>
  <si>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</si>
  <si>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</si>
  <si>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</si>
  <si>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</si>
  <si>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</si>
  <si>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</si>
  <si>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</si>
  <si>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</si>
  <si>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</si>
  <si>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</si>
  <si>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</si>
  <si>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</si>
  <si>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</si>
  <si>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</si>
  <si>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</si>
  <si>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</si>
  <si>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</si>
  <si>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</si>
  <si>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</si>
  <si>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</si>
  <si>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</si>
  <si>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</si>
  <si>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</si>
  <si>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</si>
  <si>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</si>
  <si>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</si>
  <si>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</si>
  <si>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</si>
  <si>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</si>
  <si>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</si>
  <si>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</si>
  <si>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</si>
  <si>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</si>
  <si>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</si>
  <si>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</si>
  <si>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</si>
  <si>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</si>
  <si>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</si>
  <si>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</si>
  <si>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</si>
  <si>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</si>
  <si>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</si>
  <si>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</si>
  <si>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</si>
  <si>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</si>
  <si>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</si>
  <si>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</si>
  <si>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</si>
  <si>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</si>
  <si>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</si>
  <si>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</si>
  <si>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</si>
  <si>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</si>
  <si>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</si>
  <si>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</si>
  <si>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</si>
  <si>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</si>
  <si>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</si>
  <si>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</si>
  <si>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</si>
  <si>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</si>
  <si>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</si>
  <si>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</si>
  <si>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</si>
  <si>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</si>
  <si>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</si>
  <si>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</si>
  <si>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</si>
  <si>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</si>
  <si>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</si>
  <si>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</si>
  <si>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</si>
  <si>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</si>
  <si>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</si>
  <si>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</si>
  <si>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</si>
  <si>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</si>
  <si>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</si>
  <si>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</si>
  <si>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</si>
  <si>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</si>
  <si>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</si>
  <si>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</si>
  <si>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</si>
  <si>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</si>
  <si>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</si>
  <si>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</si>
  <si>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</si>
  <si>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</si>
  <si>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</si>
  <si>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</si>
  <si>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</si>
  <si>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</si>
  <si>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</si>
  <si>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</si>
  <si>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</si>
  <si>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</si>
  <si>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</si>
  <si>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</si>
  <si>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</si>
  <si>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</si>
  <si>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</si>
  <si>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</si>
  <si>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</si>
  <si>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</si>
  <si>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</si>
  <si>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</si>
  <si>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</si>
  <si>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</si>
  <si>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</si>
  <si>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</si>
  <si>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</si>
  <si>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</si>
  <si>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</si>
  <si>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</si>
  <si>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</si>
  <si>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</si>
  <si>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</si>
  <si>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</si>
  <si>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</si>
  <si>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</si>
  <si>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</si>
  <si>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</si>
  <si>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</si>
  <si>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</si>
  <si>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</si>
  <si>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</si>
  <si>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</si>
  <si>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</si>
  <si>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</si>
  <si>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</si>
  <si>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</si>
  <si>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</si>
  <si>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</si>
  <si>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</si>
  <si>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</si>
  <si>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</si>
  <si>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</si>
  <si>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</si>
  <si>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</si>
  <si>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</si>
  <si>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</si>
  <si>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</si>
  <si>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</si>
  <si>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</si>
  <si>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</si>
  <si>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</si>
  <si>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</si>
  <si>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</si>
  <si>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</si>
  <si>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</si>
  <si>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</si>
  <si>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</si>
  <si>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</si>
  <si>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</si>
  <si>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</si>
  <si>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</si>
  <si>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</si>
  <si>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</si>
  <si>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</si>
  <si>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</si>
  <si>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</si>
  <si>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</si>
  <si>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</si>
  <si>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</si>
  <si>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</si>
  <si>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</si>
  <si>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</si>
  <si>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</si>
  <si>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</si>
  <si>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</si>
  <si>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</si>
  <si>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</si>
  <si>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</si>
  <si>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</si>
  <si>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</si>
  <si>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</si>
  <si>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</si>
  <si>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</si>
  <si>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</si>
  <si>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</si>
  <si>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</si>
  <si>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</si>
  <si>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</si>
  <si>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</si>
  <si>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</si>
  <si>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</si>
  <si>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</si>
  <si>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</si>
  <si>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</si>
  <si>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</si>
  <si>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</si>
  <si>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</si>
  <si>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</si>
  <si>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</si>
  <si>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</si>
  <si>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</si>
  <si>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</si>
  <si>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</si>
  <si>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</si>
  <si>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</si>
  <si>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</si>
  <si>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</si>
  <si>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</si>
  <si>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</si>
  <si>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</si>
  <si>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</si>
  <si>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</si>
  <si>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</si>
  <si>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</si>
  <si>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</si>
  <si>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</si>
  <si>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</si>
  <si>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</si>
  <si>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</si>
  <si>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</si>
  <si>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</si>
  <si>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</si>
  <si>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</si>
  <si>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</si>
  <si>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</si>
  <si>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</si>
  <si>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</si>
  <si>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</si>
  <si>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</si>
  <si>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</si>
  <si>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</si>
  <si>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</si>
  <si>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</si>
  <si>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</si>
  <si>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</si>
  <si>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</si>
  <si>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</si>
  <si>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</si>
  <si>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</si>
  <si>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</si>
  <si>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</si>
  <si>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</si>
  <si>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</si>
  <si>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</si>
  <si>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</si>
  <si>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</si>
  <si>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</si>
  <si>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</si>
  <si>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</si>
  <si>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</si>
  <si>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</si>
  <si>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</si>
  <si>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</si>
  <si>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</si>
  <si>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</si>
  <si>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</si>
  <si>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</si>
  <si>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</si>
  <si>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</si>
  <si>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</si>
  <si>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</si>
  <si>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</si>
  <si>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</si>
  <si>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</si>
  <si>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</si>
  <si>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</si>
  <si>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</si>
  <si>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</si>
  <si>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</si>
  <si>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</si>
  <si>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</si>
  <si>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</si>
  <si>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</si>
  <si>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</si>
  <si>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</si>
  <si>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</si>
  <si>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</si>
  <si>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</si>
  <si>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</si>
  <si>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</si>
  <si>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</si>
  <si>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</si>
  <si>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</si>
  <si>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</si>
  <si>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</si>
  <si>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</si>
  <si>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</si>
  <si>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</si>
  <si>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</si>
  <si>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</si>
  <si>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</si>
  <si>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</si>
  <si>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</si>
  <si>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</si>
  <si>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</si>
  <si>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</si>
  <si>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</si>
  <si>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</si>
  <si>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</si>
  <si>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</si>
  <si>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</si>
  <si>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</si>
  <si>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</si>
  <si>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</si>
  <si>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</si>
  <si>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</si>
  <si>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</si>
  <si>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</si>
  <si>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</si>
  <si>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</si>
  <si>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</si>
  <si>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</si>
  <si>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</si>
  <si>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</si>
  <si>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</si>
  <si>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</si>
  <si>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</si>
  <si>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</si>
  <si>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</si>
  <si>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</si>
  <si>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</si>
  <si>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</si>
  <si>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</si>
  <si>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</si>
  <si>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</si>
  <si>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</si>
  <si>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</si>
  <si>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</si>
  <si>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</si>
  <si>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</si>
  <si>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</si>
  <si>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</si>
  <si>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</si>
  <si>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</si>
  <si>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</si>
  <si>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</si>
  <si>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</si>
  <si>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</si>
  <si>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</si>
  <si>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</si>
  <si>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</si>
  <si>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</si>
  <si>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</si>
  <si>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</si>
  <si>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</si>
  <si>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</si>
  <si>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</si>
  <si>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</si>
  <si>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</si>
  <si>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</si>
  <si>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</si>
  <si>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</si>
  <si>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</si>
  <si>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</si>
  <si>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</si>
  <si>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</si>
  <si>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</si>
  <si>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</si>
  <si>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</si>
  <si>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</si>
  <si>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</si>
  <si>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</si>
  <si>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</si>
  <si>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</si>
  <si>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</si>
  <si>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</si>
  <si>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</si>
  <si>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</si>
  <si>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</si>
  <si>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</si>
  <si>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</si>
  <si>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</si>
  <si>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</si>
  <si>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</si>
  <si>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</si>
  <si>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</si>
  <si>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</si>
  <si>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</si>
  <si>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</si>
  <si>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</si>
  <si>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</si>
  <si>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</si>
  <si>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</si>
  <si>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</si>
  <si>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</si>
  <si>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</si>
  <si>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</si>
  <si>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</si>
  <si>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</si>
  <si>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</si>
  <si>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</si>
  <si>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</si>
  <si>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</si>
  <si>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</si>
  <si>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</si>
  <si>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</si>
  <si>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</si>
  <si>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</si>
  <si>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</si>
  <si>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</si>
  <si>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</si>
  <si>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</si>
  <si>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</si>
  <si>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</si>
  <si>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</si>
  <si>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</si>
  <si>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</si>
  <si>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</si>
  <si>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</si>
  <si>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</si>
  <si>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</si>
  <si>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</si>
  <si>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</si>
  <si>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</si>
  <si>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</si>
  <si>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</si>
  <si>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</si>
  <si>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</si>
  <si>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</si>
  <si>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</si>
  <si>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</si>
  <si>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</si>
  <si>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</si>
  <si>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</si>
  <si>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</si>
  <si>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</si>
  <si>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</si>
  <si>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</si>
  <si>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</si>
  <si>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</si>
  <si>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</si>
  <si>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</si>
  <si>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</si>
  <si>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</si>
  <si>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</si>
  <si>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</si>
  <si>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</si>
  <si>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</si>
  <si>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</si>
  <si>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</si>
  <si>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</si>
  <si>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</si>
  <si>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</si>
  <si>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</si>
  <si>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</si>
  <si>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</si>
  <si>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</si>
  <si>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</si>
  <si>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</si>
  <si>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</si>
  <si>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</si>
  <si>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</si>
  <si>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</si>
  <si>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</si>
  <si>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</si>
  <si>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</si>
  <si>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</si>
  <si>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</si>
  <si>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</si>
  <si>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</si>
  <si>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</si>
  <si>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</si>
  <si>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</si>
  <si>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</si>
  <si>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</si>
  <si>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</si>
  <si>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</si>
  <si>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</si>
  <si>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</si>
  <si>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</si>
  <si>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</si>
  <si>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</si>
  <si>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</si>
  <si>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</si>
  <si>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</si>
  <si>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</si>
  <si>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</si>
  <si>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</si>
  <si>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</si>
  <si>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</si>
  <si>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</si>
  <si>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</si>
  <si>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</si>
  <si>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</si>
  <si>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</si>
  <si>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</si>
  <si>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</si>
  <si>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</si>
  <si>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</si>
  <si>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</si>
  <si>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</si>
  <si>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</si>
  <si>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</si>
  <si>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</si>
  <si>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</si>
  <si>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</si>
  <si>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</si>
  <si>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</si>
  <si>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</si>
  <si>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</si>
  <si>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</si>
  <si>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</si>
  <si>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</si>
  <si>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</si>
  <si>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</si>
  <si>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</si>
  <si>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</si>
  <si>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</si>
  <si>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</si>
  <si>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</si>
  <si>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</si>
  <si>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</si>
  <si>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</si>
  <si>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</si>
  <si>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</si>
  <si>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</si>
  <si>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</si>
  <si>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</si>
  <si>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</si>
  <si>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</si>
  <si>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</si>
  <si>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</si>
  <si>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</si>
  <si>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</si>
  <si>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</si>
  <si>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</si>
  <si>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</si>
  <si>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</si>
  <si>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</si>
  <si>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</si>
  <si>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</si>
  <si>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</si>
  <si>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</si>
  <si>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</si>
  <si>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</si>
  <si>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</si>
  <si>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</si>
  <si>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</si>
  <si>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</si>
  <si>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</si>
  <si>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</si>
  <si>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</si>
  <si>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</si>
  <si>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</si>
  <si>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</si>
  <si>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</si>
  <si>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</si>
  <si>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</si>
  <si>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</si>
  <si>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</si>
  <si>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</si>
  <si>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</si>
  <si>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</si>
  <si>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</si>
  <si>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</si>
  <si>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</si>
  <si>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</si>
  <si>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</si>
  <si>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</si>
  <si>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</si>
  <si>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</si>
  <si>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</si>
  <si>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</si>
  <si>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</si>
  <si>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</si>
  <si>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</si>
  <si>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</si>
  <si>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</si>
  <si>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</si>
  <si>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</si>
  <si>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</si>
  <si>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</si>
  <si>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</si>
  <si>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</si>
  <si>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</si>
  <si>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</si>
  <si>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</si>
  <si>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</si>
  <si>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</si>
  <si>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</si>
  <si>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</si>
  <si>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</si>
  <si>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</si>
  <si>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</si>
  <si>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</si>
  <si>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</si>
  <si>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</si>
  <si>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</si>
  <si>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</si>
  <si>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</si>
  <si>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</si>
  <si>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</si>
  <si>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</si>
  <si>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</si>
  <si>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</si>
  <si>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</si>
  <si>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</si>
  <si>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</si>
  <si>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</si>
  <si>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</si>
  <si>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</si>
  <si>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</si>
  <si>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</si>
  <si>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</si>
  <si>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</si>
  <si>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</si>
  <si>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</si>
  <si>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</si>
  <si>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</si>
  <si>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</si>
  <si>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</si>
  <si>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</si>
  <si>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</si>
  <si>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</si>
  <si>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</si>
  <si>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</si>
  <si>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</si>
  <si>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</si>
  <si>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</si>
  <si>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</si>
  <si>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</si>
  <si>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</si>
  <si>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</si>
  <si>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</si>
  <si>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</si>
  <si>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</si>
  <si>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</si>
  <si>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</si>
  <si>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</si>
  <si>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</si>
  <si>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</si>
  <si>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</si>
  <si>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</si>
  <si>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</si>
  <si>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</si>
  <si>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</si>
  <si>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</si>
  <si>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</si>
  <si>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</si>
  <si>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</si>
  <si>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</si>
  <si>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</si>
  <si>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</si>
  <si>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</si>
  <si>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</si>
  <si>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</si>
  <si>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</si>
  <si>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</si>
  <si>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</si>
  <si>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</si>
  <si>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</si>
  <si>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</si>
  <si>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</si>
  <si>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</si>
  <si>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</si>
  <si>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</si>
  <si>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</si>
  <si>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</si>
  <si>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</si>
  <si>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</si>
  <si>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</si>
  <si>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</si>
  <si>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</si>
  <si>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</si>
  <si>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</si>
  <si>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</si>
  <si>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</si>
  <si>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</si>
  <si>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</si>
  <si>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</si>
  <si>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</si>
  <si>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</si>
  <si>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</si>
  <si>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</si>
  <si>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</si>
  <si>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</si>
  <si>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</si>
  <si>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</si>
  <si>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</si>
  <si>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</si>
  <si>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</si>
  <si>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</si>
  <si>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</si>
  <si>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</si>
  <si>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</si>
  <si>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</si>
  <si>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</si>
  <si>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</si>
  <si>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</si>
  <si>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</si>
  <si>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</si>
  <si>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</si>
  <si>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</si>
  <si>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</si>
  <si>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</si>
  <si>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</si>
  <si>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</si>
  <si>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</si>
  <si>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</si>
  <si>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</si>
  <si>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</si>
  <si>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</si>
  <si>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</si>
  <si>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</si>
  <si>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</si>
  <si>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</si>
  <si>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</si>
  <si>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</si>
  <si>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</si>
  <si>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</si>
  <si>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</si>
  <si>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</si>
  <si>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</si>
  <si>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</si>
  <si>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</si>
  <si>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</si>
  <si>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</si>
  <si>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</si>
  <si>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</si>
  <si>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</si>
  <si>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</si>
  <si>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</si>
  <si>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</si>
  <si>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</si>
  <si>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</si>
  <si>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</si>
  <si>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</si>
  <si>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</si>
  <si>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</si>
  <si>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</si>
  <si>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</si>
  <si>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</si>
  <si>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</si>
  <si>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</si>
  <si>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</si>
  <si>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</si>
  <si>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</si>
  <si>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</si>
  <si>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</si>
  <si>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</si>
  <si>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</si>
  <si>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</si>
  <si>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</si>
  <si>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</si>
  <si>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</si>
  <si>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</si>
  <si>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</si>
  <si>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</si>
  <si>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</si>
  <si>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</si>
  <si>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</si>
  <si>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</si>
  <si>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</si>
  <si>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</si>
  <si>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</si>
  <si>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</si>
  <si>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</si>
  <si>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</si>
  <si>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</si>
  <si>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</si>
  <si>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</si>
  <si>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</si>
  <si>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</si>
  <si>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</si>
  <si>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</si>
  <si>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</si>
  <si>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</si>
  <si>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</si>
  <si>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</si>
  <si>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</si>
  <si>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</si>
  <si>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</si>
  <si>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</si>
  <si>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</si>
  <si>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</si>
  <si>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</si>
  <si>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</si>
  <si>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</si>
  <si>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</si>
  <si>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</si>
  <si>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</si>
  <si>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</si>
  <si>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</si>
  <si>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</si>
  <si>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</si>
  <si>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</si>
  <si>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</si>
  <si>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</si>
  <si>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</si>
  <si>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</si>
  <si>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</si>
  <si>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</si>
  <si>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</si>
  <si>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</si>
  <si>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</si>
  <si>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</si>
  <si>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</si>
  <si>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</si>
  <si>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</si>
  <si>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</si>
  <si>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</si>
  <si>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</si>
  <si>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</si>
  <si>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</si>
  <si>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</si>
  <si>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</si>
  <si>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</si>
  <si>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</si>
  <si>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</si>
  <si>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</si>
  <si>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</si>
  <si>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</si>
  <si>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</si>
  <si>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</si>
  <si>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</si>
  <si>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</si>
  <si>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</si>
  <si>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</si>
  <si>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</si>
  <si>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</si>
  <si>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</si>
  <si>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</si>
  <si>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</si>
  <si>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</si>
  <si>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</si>
  <si>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</si>
  <si>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</si>
  <si>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</si>
  <si>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</si>
  <si>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</si>
  <si>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</si>
  <si>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</si>
  <si>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</si>
  <si>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</si>
  <si>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</si>
  <si>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</si>
  <si>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</si>
  <si>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</si>
  <si>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</si>
  <si>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</si>
  <si>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</si>
  <si>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</si>
  <si>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</si>
  <si>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</si>
  <si>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</si>
  <si>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</si>
  <si>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</si>
  <si>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</si>
  <si>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</si>
  <si>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</si>
  <si>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</si>
  <si>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</si>
  <si>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</si>
  <si>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</si>
  <si>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</si>
  <si>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</si>
  <si>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</si>
  <si>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</si>
  <si>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</si>
  <si>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</si>
  <si>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</si>
  <si>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</si>
  <si>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</si>
  <si>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</si>
  <si>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</si>
  <si>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</si>
  <si>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</si>
  <si>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</si>
  <si>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</si>
  <si>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</si>
  <si>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</si>
  <si>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</si>
  <si>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</si>
  <si>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</si>
  <si>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</si>
  <si>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</si>
  <si>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</si>
  <si>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</si>
  <si>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</si>
  <si>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</si>
  <si>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</si>
  <si>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</si>
  <si>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</si>
  <si>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</si>
  <si>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</si>
  <si>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</si>
  <si>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</si>
  <si>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</si>
  <si>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</si>
  <si>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</si>
  <si>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</si>
  <si>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</si>
  <si>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</si>
  <si>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</si>
  <si>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</si>
  <si>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</si>
  <si>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</si>
  <si>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</si>
  <si>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</si>
  <si>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</si>
  <si>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</si>
  <si>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</si>
  <si>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</si>
  <si>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</si>
  <si>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</si>
  <si>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</si>
  <si>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</si>
  <si>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</si>
  <si>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</si>
  <si>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</si>
  <si>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</si>
  <si>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</si>
  <si>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</si>
  <si>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</si>
  <si>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</si>
  <si>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</si>
  <si>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</si>
  <si>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</si>
  <si>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</si>
  <si>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</si>
  <si>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</si>
  <si>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</si>
  <si>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</si>
  <si>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</si>
  <si>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</si>
  <si>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</si>
  <si>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</si>
  <si>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</si>
  <si>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</si>
  <si>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</si>
  <si>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</si>
  <si>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</si>
  <si>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</si>
  <si>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</si>
  <si>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</si>
  <si>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</si>
  <si>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</si>
  <si>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</si>
  <si>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</si>
  <si>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</si>
  <si>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</si>
  <si>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</si>
  <si>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</si>
  <si>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</si>
  <si>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</si>
  <si>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</si>
  <si>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</si>
  <si>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</si>
  <si>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</si>
  <si>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</si>
  <si>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</si>
  <si>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</si>
  <si>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</si>
  <si>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</si>
  <si>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</si>
  <si>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</si>
  <si>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</si>
  <si>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</si>
  <si>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</si>
  <si>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</si>
  <si>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</si>
  <si>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</si>
  <si>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</si>
  <si>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</si>
  <si>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</si>
  <si>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</si>
  <si>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</si>
  <si>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</si>
  <si>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</si>
  <si>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</si>
  <si>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</si>
  <si>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</si>
  <si>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</si>
  <si>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</si>
  <si>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</si>
  <si>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</si>
  <si>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</si>
  <si>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</si>
  <si>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</si>
  <si>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</si>
  <si>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</si>
  <si>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</si>
  <si>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</si>
  <si>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</si>
  <si>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</si>
  <si>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</si>
  <si>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</si>
  <si>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</si>
  <si>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</si>
  <si>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</si>
  <si>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</si>
  <si>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</si>
  <si>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</si>
  <si>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</si>
  <si>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</si>
  <si>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</si>
  <si>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</si>
  <si>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</si>
  <si>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</si>
  <si>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</si>
  <si>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</si>
  <si>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</si>
  <si>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</si>
  <si>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</si>
  <si>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</si>
  <si>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</si>
  <si>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</si>
  <si>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</si>
  <si>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</si>
  <si>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</si>
  <si>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</si>
  <si>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</si>
  <si>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</si>
  <si>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</si>
  <si>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</si>
  <si>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</si>
  <si>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</si>
  <si>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</si>
  <si>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</si>
  <si>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</si>
  <si>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</si>
  <si>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</si>
  <si>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</si>
  <si>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</si>
  <si>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</si>
  <si>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</si>
  <si>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</si>
  <si>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</si>
  <si>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</si>
  <si>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</si>
  <si>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</si>
  <si>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</si>
  <si>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</si>
  <si>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</si>
  <si>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</si>
  <si>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</si>
  <si>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</si>
  <si>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</si>
  <si>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</si>
  <si>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</si>
  <si>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</si>
  <si>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</si>
  <si>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</si>
  <si>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</si>
  <si>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</si>
  <si>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</si>
  <si>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</si>
  <si>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</si>
  <si>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</si>
  <si>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</si>
  <si>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</si>
  <si>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</si>
  <si>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</si>
  <si>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</si>
  <si>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</si>
  <si>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</si>
  <si>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</si>
  <si>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</si>
  <si>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</si>
  <si>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</si>
  <si>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</si>
  <si>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</si>
  <si>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</si>
  <si>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</si>
  <si>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</si>
  <si>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</si>
  <si>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</si>
  <si>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</si>
  <si>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</si>
  <si>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</si>
  <si>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</si>
  <si>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</si>
  <si>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</si>
  <si>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</si>
  <si>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</si>
  <si>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</si>
  <si>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</si>
  <si>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</si>
  <si>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</si>
  <si>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</si>
  <si>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</si>
  <si>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</si>
  <si>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</si>
  <si>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</si>
  <si>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</si>
  <si>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</si>
  <si>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</si>
  <si>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</si>
  <si>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</si>
  <si>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</si>
  <si>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</si>
  <si>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</si>
  <si>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</si>
  <si>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</si>
  <si>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</si>
  <si>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</si>
  <si>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</si>
  <si>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</si>
  <si>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</si>
  <si>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</si>
  <si>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</si>
  <si>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</si>
  <si>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</si>
  <si>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</si>
  <si>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</si>
  <si>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</si>
  <si>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</si>
  <si>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</si>
  <si>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</si>
  <si>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</si>
  <si>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</si>
  <si>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</si>
  <si>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</si>
  <si>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</si>
  <si>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</si>
  <si>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</si>
  <si>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</si>
  <si>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</si>
  <si>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</si>
  <si>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</si>
  <si>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</si>
  <si>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</si>
  <si>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</si>
  <si>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</si>
  <si>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</si>
  <si>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</si>
  <si>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</si>
  <si>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</si>
  <si>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</si>
  <si>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</si>
  <si>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</si>
  <si>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</si>
  <si>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</si>
  <si>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</si>
  <si>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</si>
  <si>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</si>
  <si>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</si>
  <si>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</si>
  <si>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</si>
  <si>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</si>
  <si>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</si>
  <si>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</si>
  <si>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</si>
  <si>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</si>
  <si>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</si>
  <si>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</si>
  <si>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</si>
  <si>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</si>
  <si>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</si>
  <si>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</si>
  <si>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</si>
  <si>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</si>
  <si>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</si>
  <si>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</si>
  <si>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</si>
  <si>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</si>
  <si>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</si>
  <si>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</si>
  <si>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</si>
  <si>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</si>
  <si>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</si>
  <si>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</si>
  <si>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</si>
  <si>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</si>
  <si>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</si>
  <si>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</si>
  <si>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</si>
  <si>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</si>
  <si>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</si>
  <si>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</si>
  <si>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</si>
  <si>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</si>
  <si>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</si>
  <si>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</si>
  <si>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</si>
  <si>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</si>
  <si>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</si>
  <si>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</si>
  <si>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</si>
  <si>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</si>
  <si>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</si>
  <si>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</si>
  <si>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</si>
  <si>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</si>
  <si>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</si>
  <si>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</si>
  <si>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</si>
  <si>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</si>
  <si>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</si>
  <si>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</si>
  <si>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</si>
  <si>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</si>
  <si>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</si>
  <si>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</si>
  <si>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</si>
  <si>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</si>
  <si>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</si>
  <si>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</si>
  <si>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</si>
  <si>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</si>
  <si>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</si>
  <si>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</si>
  <si>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</si>
  <si>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</si>
  <si>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</si>
  <si>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</si>
  <si>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</si>
  <si>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</si>
  <si>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</si>
  <si>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</si>
  <si>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</si>
  <si>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</si>
  <si>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</si>
  <si>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</si>
  <si>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</si>
  <si>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</si>
  <si>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</si>
  <si>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</si>
  <si>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</si>
  <si>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</si>
  <si>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</si>
  <si>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</si>
  <si>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</si>
  <si>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</si>
  <si>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</si>
  <si>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</si>
  <si>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</si>
  <si>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</si>
  <si>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</si>
  <si>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</si>
  <si>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</si>
  <si>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</si>
  <si>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</si>
  <si>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</si>
  <si>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</si>
  <si>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</si>
  <si>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</si>
  <si>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</si>
  <si>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</si>
  <si>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</si>
  <si>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</si>
  <si>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</si>
  <si>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</si>
  <si>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</si>
  <si>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</si>
  <si>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</si>
  <si>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</si>
  <si>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</si>
  <si>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</si>
  <si>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</si>
  <si>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</si>
  <si>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</si>
  <si>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</si>
  <si>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</si>
  <si>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</si>
  <si>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</si>
  <si>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</si>
  <si>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</si>
  <si>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</si>
  <si>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</si>
  <si>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</si>
  <si>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</si>
  <si>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</si>
  <si>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</si>
  <si>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</si>
  <si>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</si>
  <si>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</si>
  <si>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</si>
  <si>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</si>
  <si>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</si>
  <si>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</si>
  <si>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</si>
  <si>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</si>
  <si>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</si>
  <si>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</si>
  <si>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</si>
  <si>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</si>
  <si>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</si>
  <si>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</si>
  <si>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</si>
  <si>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</si>
  <si>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</si>
  <si>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</si>
  <si>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</si>
  <si>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</si>
  <si>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</si>
  <si>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</si>
  <si>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</si>
  <si>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</si>
  <si>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</si>
  <si>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</si>
  <si>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</si>
  <si>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</si>
  <si>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</si>
  <si>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</si>
  <si>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</si>
  <si>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</si>
  <si>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</si>
  <si>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</si>
  <si>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</si>
  <si>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</si>
  <si>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</si>
  <si>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</si>
  <si>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</si>
  <si>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</si>
  <si>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</si>
  <si>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</si>
  <si>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</si>
  <si>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</si>
  <si>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</si>
  <si>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</si>
  <si>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</si>
  <si>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</si>
  <si>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</si>
  <si>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</si>
  <si>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</si>
  <si>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</si>
  <si>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</si>
  <si>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</si>
  <si>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</si>
  <si>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</si>
  <si>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</si>
  <si>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</si>
  <si>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</si>
  <si>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</si>
  <si>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</si>
  <si>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</si>
  <si>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</si>
  <si>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</si>
  <si>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</si>
  <si>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</si>
  <si>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</si>
  <si>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</si>
  <si>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</si>
  <si>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</si>
  <si>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</si>
  <si>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</si>
  <si>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</si>
  <si>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</si>
  <si>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</si>
  <si>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</si>
  <si>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</si>
  <si>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</si>
  <si>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</si>
  <si>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</si>
  <si>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</si>
  <si>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</si>
  <si>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</si>
  <si>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</si>
  <si>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</si>
  <si>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</si>
  <si>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</si>
  <si>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</si>
  <si>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</si>
  <si>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</si>
  <si>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</si>
  <si>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</si>
  <si>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</si>
  <si>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</si>
  <si>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</si>
  <si>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</si>
  <si>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</si>
  <si>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</si>
  <si>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</si>
  <si>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</si>
  <si>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</si>
  <si>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</si>
  <si>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</si>
  <si>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</si>
  <si>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</si>
  <si>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</si>
  <si>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</si>
  <si>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</si>
  <si>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</si>
  <si>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</si>
  <si>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</si>
  <si>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</si>
  <si>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</si>
  <si>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</si>
  <si>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</si>
  <si>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</si>
  <si>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</si>
  <si>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</si>
  <si>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</si>
  <si>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</si>
  <si>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</si>
  <si>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</si>
  <si>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</si>
  <si>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</si>
  <si>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</si>
  <si>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</si>
  <si>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</si>
  <si>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</si>
  <si>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</si>
  <si>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</si>
  <si>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</si>
  <si>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</si>
  <si>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</si>
  <si>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</si>
  <si>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</si>
  <si>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</si>
  <si>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</si>
  <si>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</si>
  <si>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</si>
  <si>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</si>
  <si>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</si>
  <si>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</si>
  <si>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</si>
  <si>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</si>
  <si>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</si>
  <si>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</si>
  <si>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</si>
  <si>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</si>
  <si>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</si>
  <si>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</si>
  <si>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</si>
  <si>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</si>
  <si>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</si>
  <si>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</si>
  <si>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</si>
  <si>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</si>
  <si>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</si>
  <si>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</si>
  <si>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</si>
  <si>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</si>
  <si>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</si>
  <si>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</si>
  <si>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</si>
  <si>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</si>
  <si>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</si>
  <si>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</si>
  <si>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</si>
  <si>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</si>
  <si>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</si>
  <si>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</si>
  <si>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</si>
  <si>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</si>
  <si>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</si>
  <si>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</si>
  <si>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</si>
  <si>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</si>
  <si>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</si>
  <si>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</si>
  <si>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</si>
  <si>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</si>
  <si>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</si>
  <si>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</si>
  <si>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</si>
  <si>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</si>
  <si>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</si>
  <si>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</si>
  <si>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</si>
  <si>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</si>
  <si>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</si>
  <si>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</si>
  <si>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</si>
  <si>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</si>
  <si>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</si>
  <si>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</si>
  <si>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</si>
  <si>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</si>
  <si>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</si>
  <si>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</si>
  <si>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</si>
  <si>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</si>
  <si>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</si>
  <si>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</si>
  <si>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</si>
  <si>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</si>
  <si>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</si>
  <si>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</si>
  <si>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</si>
  <si>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</si>
  <si>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</si>
  <si>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</si>
  <si>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</si>
  <si>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</si>
  <si>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</si>
  <si>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</si>
  <si>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</si>
  <si>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</si>
  <si>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</si>
  <si>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</si>
  <si>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</si>
  <si>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</si>
  <si>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</si>
  <si>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</si>
  <si>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</si>
  <si>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</si>
  <si>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</si>
  <si>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</si>
  <si>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</si>
  <si>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</si>
  <si>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</si>
  <si>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</si>
  <si>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</si>
  <si>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</si>
  <si>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</si>
  <si>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</si>
  <si>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</si>
  <si>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</si>
  <si>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</si>
  <si>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</si>
  <si>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</si>
  <si>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</si>
  <si>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</si>
  <si>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</si>
  <si>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</si>
  <si>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</si>
  <si>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</si>
  <si>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</si>
  <si>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</si>
  <si>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</si>
  <si>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</si>
  <si>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</si>
  <si>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</si>
  <si>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</si>
  <si>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</si>
  <si>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</si>
  <si>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</si>
  <si>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</si>
  <si>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</si>
  <si>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</si>
  <si>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</si>
  <si>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</si>
  <si>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</si>
  <si>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</si>
  <si>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</si>
  <si>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</si>
  <si>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</si>
  <si>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</si>
  <si>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</si>
  <si>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</si>
  <si>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</si>
  <si>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</si>
  <si>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</si>
  <si>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</si>
  <si>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</si>
  <si>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</si>
  <si>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</si>
  <si>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</si>
  <si>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</si>
  <si>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</si>
  <si>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</si>
  <si>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</si>
  <si>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</si>
  <si>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</si>
  <si>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</si>
  <si>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</si>
  <si>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</si>
  <si>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</si>
  <si>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</si>
  <si>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</si>
  <si>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</si>
  <si>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</si>
  <si>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</si>
  <si>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</si>
  <si>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</si>
  <si>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</si>
  <si>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</si>
  <si>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</si>
  <si>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</si>
  <si>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</si>
  <si>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</si>
  <si>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</si>
  <si>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</si>
  <si>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</si>
  <si>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</si>
  <si>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</si>
  <si>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</si>
  <si>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</si>
  <si>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</si>
  <si>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</si>
  <si>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</si>
  <si>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</si>
  <si>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</si>
  <si>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</si>
  <si>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</si>
  <si>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</si>
  <si>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</si>
  <si>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</si>
  <si>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</si>
  <si>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</si>
  <si>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</si>
  <si>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</si>
  <si>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</si>
  <si>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</si>
  <si>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</si>
  <si>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</si>
  <si>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</si>
  <si>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</si>
  <si>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</si>
  <si>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</si>
  <si>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</si>
  <si>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</si>
  <si>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</si>
  <si>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</si>
  <si>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</si>
  <si>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</si>
  <si>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</si>
  <si>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</si>
  <si>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</si>
  <si>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</si>
  <si>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</si>
  <si>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</si>
  <si>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</si>
  <si>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</si>
  <si>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</si>
  <si>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</si>
  <si>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</si>
  <si>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</si>
  <si>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</si>
  <si>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</si>
  <si>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</si>
  <si>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</si>
  <si>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</si>
  <si>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</si>
  <si>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</si>
  <si>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</si>
  <si>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</si>
  <si>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</si>
  <si>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</si>
  <si>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</si>
  <si>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</si>
  <si>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</si>
  <si>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</si>
  <si>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</si>
  <si>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</si>
  <si>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</si>
  <si>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</si>
  <si>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</si>
  <si>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</si>
  <si>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</si>
  <si>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</si>
  <si>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</si>
  <si>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</si>
  <si>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</si>
  <si>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</si>
  <si>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</si>
  <si>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</si>
  <si>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</si>
  <si>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</si>
  <si>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</si>
  <si>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</si>
  <si>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</si>
  <si>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</si>
  <si>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</si>
  <si>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</si>
  <si>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</si>
  <si>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</si>
  <si>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</si>
  <si>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</si>
  <si>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</si>
  <si>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</si>
  <si>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</si>
  <si>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</si>
  <si>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</si>
  <si>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</si>
  <si>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</si>
  <si>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</si>
  <si>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</si>
  <si>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</si>
  <si>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</si>
  <si>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</si>
  <si>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</si>
  <si>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</si>
  <si>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</si>
  <si>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</si>
  <si>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</si>
  <si>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</si>
  <si>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</si>
  <si>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</si>
  <si>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</si>
  <si>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</si>
  <si>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</si>
  <si>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</si>
  <si>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</si>
  <si>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</si>
  <si>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</si>
  <si>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</si>
  <si>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</si>
  <si>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</si>
  <si>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</si>
  <si>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</si>
  <si>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</si>
  <si>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</si>
  <si>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</si>
  <si>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</si>
  <si>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</si>
  <si>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</si>
  <si>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</si>
  <si>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</si>
  <si>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</si>
  <si>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</si>
  <si>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</si>
  <si>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</si>
  <si>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</si>
  <si>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</si>
  <si>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</si>
  <si>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</si>
  <si>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</si>
  <si>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</si>
  <si>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</si>
  <si>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</si>
  <si>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</si>
  <si>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</si>
  <si>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</si>
  <si>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</si>
  <si>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</si>
  <si>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</si>
  <si>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</si>
  <si>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</si>
  <si>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</si>
  <si>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</si>
  <si>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</si>
  <si>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</si>
  <si>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</si>
  <si>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</si>
  <si>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</si>
  <si>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</si>
  <si>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</si>
  <si>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</si>
  <si>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</si>
  <si>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</si>
  <si>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</si>
  <si>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</si>
  <si>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</si>
  <si>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</si>
  <si>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</si>
  <si>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</si>
  <si>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</si>
  <si>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</si>
  <si>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</si>
  <si>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</si>
  <si>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</si>
  <si>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</si>
  <si>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</si>
  <si>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</si>
  <si>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</si>
  <si>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</si>
  <si>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</si>
  <si>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</si>
  <si>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</si>
  <si>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</si>
  <si>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</si>
  <si>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</si>
  <si>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</si>
  <si>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</si>
  <si>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</si>
  <si>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</si>
  <si>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</si>
  <si>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</si>
  <si>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</si>
  <si>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</si>
  <si>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</si>
  <si>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</si>
  <si>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</si>
  <si>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</si>
  <si>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</si>
  <si>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</si>
  <si>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</si>
  <si>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</si>
  <si>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</si>
  <si>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</si>
  <si>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</si>
  <si>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</si>
  <si>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</si>
  <si>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</si>
  <si>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</si>
  <si>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</si>
  <si>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</si>
  <si>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</si>
  <si>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</si>
  <si>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</si>
  <si>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</si>
  <si>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</si>
  <si>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</si>
  <si>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</si>
  <si>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</si>
  <si>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</si>
  <si>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</si>
  <si>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</si>
  <si>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</si>
  <si>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</si>
  <si>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</si>
  <si>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</si>
  <si>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</si>
  <si>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</si>
  <si>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</si>
  <si>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</si>
  <si>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</si>
  <si>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</si>
  <si>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</si>
  <si>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</si>
  <si>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</si>
  <si>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</si>
  <si>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</si>
  <si>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</si>
  <si>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</si>
  <si>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</si>
  <si>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</si>
  <si>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</si>
  <si>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</si>
  <si>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</si>
  <si>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</si>
  <si>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</si>
  <si>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</si>
  <si>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</si>
  <si>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</si>
  <si>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</si>
  <si>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</si>
  <si>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</si>
  <si>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</si>
  <si>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</si>
  <si>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</si>
  <si>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</si>
  <si>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</si>
  <si>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</si>
  <si>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</si>
  <si>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</si>
  <si>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</si>
  <si>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</si>
  <si>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</si>
  <si>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</si>
  <si>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</si>
  <si>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</si>
  <si>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</si>
  <si>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</si>
  <si>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</si>
  <si>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</si>
  <si>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</si>
  <si>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</si>
  <si>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</si>
  <si>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</si>
  <si>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</si>
  <si>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</si>
  <si>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</si>
  <si>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</si>
  <si>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</si>
  <si>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</si>
  <si>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</si>
  <si>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</si>
  <si>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</si>
  <si>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</si>
  <si>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</si>
  <si>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</si>
  <si>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</si>
  <si>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</si>
  <si>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</si>
  <si>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</si>
  <si>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</si>
  <si>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</si>
  <si>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</si>
  <si>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</si>
  <si>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</si>
  <si>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</si>
  <si>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</si>
  <si>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</si>
  <si>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</si>
  <si>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</si>
  <si>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</si>
  <si>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</si>
  <si>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</si>
  <si>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</si>
  <si>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</si>
  <si>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</si>
  <si>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</si>
  <si>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</si>
  <si>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</si>
  <si>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</si>
  <si>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</si>
  <si>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</si>
  <si>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</si>
  <si>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</si>
  <si>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</si>
  <si>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</si>
  <si>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</si>
  <si>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</si>
  <si>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</si>
  <si>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</si>
  <si>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</si>
  <si>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</si>
  <si>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</si>
  <si>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</si>
  <si>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</si>
  <si>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</si>
  <si>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</si>
  <si>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</si>
  <si>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</si>
  <si>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</si>
  <si>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</si>
  <si>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</si>
  <si>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</si>
  <si>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</si>
  <si>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</si>
  <si>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</si>
  <si>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</si>
  <si>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</si>
  <si>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</si>
  <si>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</si>
  <si>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</si>
  <si>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</si>
  <si>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</si>
  <si>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</si>
  <si>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</si>
  <si>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</si>
  <si>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</si>
  <si>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</si>
  <si>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</si>
  <si>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</si>
  <si>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</si>
  <si>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</si>
  <si>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</si>
  <si>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</si>
  <si>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</si>
  <si>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</si>
  <si>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</si>
  <si>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</si>
  <si>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</si>
  <si>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</si>
  <si>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</si>
  <si>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</si>
  <si>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</si>
  <si>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</si>
  <si>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</si>
  <si>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</si>
  <si>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</si>
  <si>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</si>
  <si>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</si>
  <si>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</si>
  <si>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</si>
  <si>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</si>
  <si>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</si>
  <si>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</si>
  <si>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</si>
  <si>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</si>
  <si>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</si>
  <si>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</si>
  <si>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</si>
  <si>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</si>
  <si>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</si>
  <si>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</si>
  <si>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</si>
  <si>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</si>
  <si>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</si>
  <si>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</si>
  <si>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</si>
  <si>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</si>
  <si>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</si>
  <si>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</si>
  <si>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</si>
  <si>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</si>
  <si>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</si>
  <si>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</si>
  <si>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</si>
  <si>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</si>
  <si>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</si>
  <si>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</si>
  <si>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</si>
  <si>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</si>
  <si>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</si>
  <si>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</si>
  <si>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</si>
  <si>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</si>
  <si>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</si>
  <si>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</si>
  <si>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</si>
  <si>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</si>
  <si>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</si>
  <si>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</si>
  <si>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</si>
  <si>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</si>
  <si>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</si>
  <si>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</si>
  <si>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</si>
  <si>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</si>
  <si>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</si>
  <si>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</si>
  <si>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</si>
  <si>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</si>
  <si>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</si>
  <si>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</si>
  <si>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</si>
  <si>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</si>
  <si>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</si>
  <si>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</si>
  <si>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</si>
  <si>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</si>
  <si>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</si>
  <si>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</si>
  <si>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</si>
  <si>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</si>
  <si>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</si>
  <si>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</si>
  <si>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</si>
  <si>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</si>
  <si>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</si>
  <si>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</si>
  <si>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</si>
  <si>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</si>
  <si>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</si>
  <si>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</si>
  <si>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</si>
  <si>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</si>
  <si>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</si>
  <si>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</si>
  <si>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</si>
  <si>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</si>
  <si>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</si>
  <si>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</si>
  <si>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</si>
  <si>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</si>
  <si>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</si>
  <si>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</si>
  <si>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</si>
  <si>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</si>
  <si>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</si>
  <si>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</si>
  <si>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</si>
  <si>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</si>
  <si>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</si>
  <si>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</si>
  <si>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</si>
  <si>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</si>
  <si>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</si>
  <si>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</si>
  <si>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</si>
  <si>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</si>
  <si>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</si>
  <si>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</si>
  <si>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</si>
  <si>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</si>
  <si>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</si>
  <si>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</si>
  <si>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</si>
  <si>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</si>
  <si>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</si>
  <si>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</si>
  <si>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</si>
  <si>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</si>
  <si>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</si>
  <si>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</si>
  <si>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</si>
  <si>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</si>
  <si>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</si>
  <si>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</si>
  <si>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</si>
  <si>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</si>
  <si>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</si>
  <si>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</si>
  <si>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</si>
  <si>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</si>
  <si>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</si>
  <si>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</si>
  <si>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</si>
  <si>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</si>
  <si>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</si>
  <si>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</si>
  <si>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</si>
  <si>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</si>
  <si>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</si>
  <si>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</si>
  <si>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</si>
  <si>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</si>
  <si>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</si>
  <si>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</si>
  <si>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</si>
  <si>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</si>
  <si>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</si>
  <si>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</si>
  <si>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</si>
  <si>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</si>
  <si>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</si>
  <si>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</si>
  <si>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</si>
  <si>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</si>
  <si>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</si>
  <si>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</si>
  <si>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</si>
  <si>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</si>
  <si>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</si>
  <si>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</si>
  <si>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</si>
  <si>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</si>
  <si>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</si>
  <si>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</si>
  <si>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</si>
  <si>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</si>
  <si>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</si>
  <si>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</si>
  <si>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</si>
  <si>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</si>
  <si>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</si>
  <si>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</si>
  <si>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</si>
  <si>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</si>
  <si>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</si>
  <si>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</si>
  <si>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</si>
  <si>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</si>
  <si>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</si>
  <si>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</si>
  <si>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</si>
  <si>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</si>
  <si>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</si>
  <si>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</si>
  <si>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</si>
  <si>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</si>
  <si>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</si>
  <si>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</si>
  <si>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</si>
  <si>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</si>
  <si>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</si>
  <si>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</si>
  <si>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</si>
  <si>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</si>
  <si>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</si>
  <si>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</si>
  <si>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</si>
  <si>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</si>
  <si>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</si>
  <si>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</si>
  <si>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</si>
  <si>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</si>
  <si>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</si>
  <si>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</si>
  <si>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</si>
  <si>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</si>
  <si>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</si>
  <si>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</si>
  <si>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</si>
  <si>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</si>
  <si>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</si>
  <si>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</si>
  <si>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</si>
  <si>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</si>
  <si>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</si>
  <si>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</si>
  <si>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</si>
  <si>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</si>
  <si>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</si>
  <si>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</si>
  <si>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</si>
  <si>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</si>
  <si>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</si>
  <si>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</si>
  <si>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</si>
  <si>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</si>
  <si>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</si>
  <si>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</si>
  <si>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</si>
  <si>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</si>
  <si>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</si>
  <si>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</si>
  <si>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</si>
  <si>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</si>
  <si>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</si>
  <si>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</si>
  <si>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</si>
  <si>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</si>
  <si>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</si>
  <si>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</si>
  <si>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</si>
  <si>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</si>
  <si>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</si>
  <si>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</si>
  <si>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</si>
  <si>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</si>
  <si>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</si>
  <si>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</si>
  <si>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</si>
  <si>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</si>
  <si>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</si>
  <si>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</si>
  <si>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</si>
  <si>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</si>
  <si>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</si>
  <si>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</si>
  <si>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</si>
  <si>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</si>
  <si>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</si>
  <si>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</si>
  <si>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</si>
  <si>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</si>
  <si>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</si>
  <si>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</si>
  <si>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</si>
  <si>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</si>
  <si>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</si>
  <si>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</si>
  <si>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</si>
  <si>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</si>
  <si>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</si>
  <si>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</si>
  <si>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</si>
  <si>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</si>
  <si>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</si>
  <si>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</si>
  <si>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</si>
  <si>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</si>
  <si>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</si>
  <si>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</si>
  <si>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</si>
  <si>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</si>
  <si>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</si>
  <si>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</si>
  <si>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</si>
  <si>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</si>
  <si>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</si>
  <si>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</si>
  <si>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</si>
  <si>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</si>
  <si>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</si>
  <si>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</si>
  <si>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</si>
  <si>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</si>
  <si>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</si>
  <si>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</si>
  <si>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</si>
  <si>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</si>
  <si>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</si>
  <si>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</si>
  <si>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</si>
  <si>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</si>
  <si>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</si>
  <si>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</si>
  <si>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</si>
  <si>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</si>
  <si>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</si>
  <si>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</si>
  <si>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</si>
  <si>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</si>
  <si>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</si>
  <si>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</si>
  <si>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</si>
  <si>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</si>
  <si>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</si>
  <si>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</si>
  <si>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</si>
  <si>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</si>
  <si>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</si>
  <si>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</si>
  <si>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</si>
  <si>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</si>
  <si>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</si>
  <si>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</si>
  <si>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</si>
  <si>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</si>
  <si>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</si>
  <si>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</si>
  <si>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</si>
  <si>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</si>
  <si>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</si>
  <si>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</si>
  <si>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</si>
  <si>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</si>
  <si>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</si>
  <si>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</si>
  <si>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</si>
  <si>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</si>
  <si>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</si>
  <si>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</si>
  <si>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</si>
  <si>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</si>
  <si>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</si>
  <si>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</si>
  <si>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</si>
  <si>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</si>
  <si>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</si>
  <si>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</si>
  <si>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</si>
  <si>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</si>
  <si>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</si>
  <si>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</si>
  <si>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</si>
  <si>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</si>
  <si>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</si>
  <si>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</si>
  <si>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</si>
  <si>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</si>
  <si>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</si>
  <si>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</si>
  <si>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</si>
  <si>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</si>
  <si>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</si>
  <si>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</si>
  <si>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</si>
  <si>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</si>
  <si>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</si>
  <si>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</si>
  <si>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</si>
  <si>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</si>
  <si>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</si>
  <si>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</si>
  <si>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</si>
  <si>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</si>
  <si>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</si>
  <si>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</si>
  <si>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</si>
  <si>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</si>
  <si>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</si>
  <si>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</si>
  <si>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</si>
  <si>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</si>
  <si>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</si>
  <si>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</si>
  <si>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</si>
  <si>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</si>
  <si>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</si>
  <si>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</si>
  <si>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</si>
  <si>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</si>
  <si>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</si>
  <si>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</si>
  <si>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</si>
  <si>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</si>
  <si>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</si>
  <si>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</si>
  <si>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</si>
  <si>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</si>
  <si>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</si>
  <si>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</si>
  <si>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</si>
  <si>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</si>
  <si>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</si>
  <si>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</si>
  <si>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</si>
  <si>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</si>
  <si>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</si>
  <si>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</si>
  <si>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</si>
  <si>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</si>
  <si>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</si>
  <si>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</si>
  <si>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</si>
  <si>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</si>
  <si>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</si>
  <si>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</si>
  <si>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</si>
  <si>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</si>
  <si>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</si>
  <si>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</si>
  <si>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</si>
  <si>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</si>
  <si>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</si>
  <si>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</si>
  <si>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</si>
  <si>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</si>
  <si>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</si>
  <si>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</si>
  <si>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</si>
  <si>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</si>
  <si>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</si>
  <si>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</si>
  <si>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</si>
  <si>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</si>
  <si>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</si>
  <si>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</si>
  <si>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</si>
  <si>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</si>
  <si>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</si>
  <si>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</si>
  <si>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</si>
  <si>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</si>
  <si>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</si>
  <si>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</si>
  <si>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</si>
  <si>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</si>
  <si>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</si>
  <si>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</si>
  <si>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</si>
  <si>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</si>
  <si>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</si>
  <si>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</si>
  <si>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</si>
  <si>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</si>
  <si>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</si>
  <si>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</si>
  <si>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</si>
  <si>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</si>
  <si>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</si>
  <si>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</si>
  <si>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</si>
  <si>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</si>
  <si>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</si>
  <si>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</si>
  <si>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</si>
  <si>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</si>
  <si>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</si>
  <si>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</si>
  <si>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</si>
  <si>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</si>
  <si>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</si>
  <si>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</si>
  <si>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</si>
  <si>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</si>
  <si>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</si>
  <si>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</si>
  <si>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</si>
  <si>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</si>
  <si>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</si>
  <si>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</si>
  <si>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</si>
  <si>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</si>
  <si>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</si>
  <si>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</si>
  <si>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</si>
  <si>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</si>
  <si>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</si>
  <si>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</si>
  <si>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</si>
  <si>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</si>
  <si>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</si>
  <si>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</si>
  <si>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</si>
  <si>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</si>
  <si>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</si>
  <si>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</si>
  <si>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</si>
  <si>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</si>
  <si>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</si>
  <si>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</si>
  <si>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</si>
  <si>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</si>
  <si>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</si>
  <si>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</si>
  <si>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</si>
  <si>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</si>
  <si>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</si>
  <si>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</si>
  <si>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</si>
  <si>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</si>
  <si>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</si>
  <si>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</si>
  <si>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</si>
  <si>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</si>
  <si>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</si>
  <si>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</si>
  <si>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</si>
  <si>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</si>
  <si>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</si>
  <si>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</si>
  <si>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</si>
  <si>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</si>
  <si>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</si>
  <si>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</si>
  <si>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</si>
  <si>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</si>
  <si>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</si>
  <si>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</si>
  <si>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</si>
  <si>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</si>
  <si>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</si>
  <si>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</si>
  <si>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</si>
  <si>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</si>
  <si>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</si>
  <si>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</si>
  <si>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</si>
  <si>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</si>
  <si>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</si>
  <si>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</si>
  <si>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</si>
  <si>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</si>
  <si>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</si>
  <si>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</si>
  <si>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</si>
  <si>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</si>
  <si>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</si>
  <si>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</si>
  <si>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</si>
  <si>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</si>
  <si>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</si>
  <si>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</si>
  <si>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</si>
  <si>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</si>
  <si>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</si>
  <si>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</si>
  <si>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</si>
  <si>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</si>
  <si>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</si>
  <si>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</si>
  <si>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</si>
  <si>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</si>
  <si>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</si>
  <si>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</si>
  <si>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</si>
  <si>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</si>
  <si>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</si>
  <si>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</si>
  <si>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</si>
  <si>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</si>
  <si>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</si>
  <si>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</si>
  <si>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</si>
  <si>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</si>
  <si>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</si>
  <si>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</si>
  <si>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</si>
  <si>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</si>
  <si>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</si>
  <si>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</si>
  <si>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</si>
  <si>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</si>
  <si>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</si>
  <si>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</si>
  <si>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</si>
  <si>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</si>
  <si>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</si>
  <si>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</si>
  <si>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</si>
  <si>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</si>
  <si>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</si>
  <si>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</si>
  <si>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</si>
  <si>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</si>
  <si>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</si>
  <si>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</si>
  <si>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</si>
  <si>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</si>
  <si>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</si>
  <si>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</si>
  <si>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</si>
  <si>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</si>
  <si>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</si>
  <si>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</si>
  <si>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</si>
  <si>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</si>
  <si>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</si>
  <si>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</si>
  <si>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</si>
  <si>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</si>
  <si>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</si>
  <si>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</si>
  <si>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</si>
  <si>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</si>
  <si>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</si>
  <si>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</si>
  <si>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</si>
  <si>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</si>
  <si>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</si>
  <si>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</si>
  <si>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</si>
  <si>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</si>
  <si>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</si>
  <si>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</si>
  <si>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</si>
  <si>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</si>
  <si>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</si>
  <si>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</si>
  <si>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</si>
  <si>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</si>
  <si>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</si>
  <si>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</si>
  <si>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</si>
  <si>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</si>
  <si>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</si>
  <si>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</si>
  <si>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</si>
  <si>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</si>
  <si>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</si>
  <si>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</si>
  <si>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</si>
  <si>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</si>
  <si>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</si>
  <si>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</si>
  <si>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</si>
  <si>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</si>
  <si>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</si>
  <si>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</si>
  <si>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</si>
  <si>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</si>
  <si>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</si>
  <si>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</si>
  <si>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</si>
  <si>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</si>
  <si>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</si>
  <si>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</si>
  <si>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</si>
  <si>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</si>
  <si>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</si>
  <si>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</si>
  <si>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</si>
  <si>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</si>
  <si>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</si>
  <si>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</si>
  <si>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</si>
  <si>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</si>
  <si>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</si>
  <si>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</si>
  <si>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</si>
  <si>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</si>
  <si>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</si>
  <si>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</si>
  <si>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</si>
  <si>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</si>
  <si>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</si>
  <si>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</si>
  <si>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</si>
  <si>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</si>
  <si>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</si>
  <si>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</si>
  <si>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</si>
  <si>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</si>
  <si>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</si>
  <si>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</si>
  <si>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</si>
  <si>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</si>
  <si>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</si>
  <si>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</si>
  <si>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</si>
  <si>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</si>
  <si>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</si>
  <si>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</si>
  <si>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</si>
  <si>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</si>
  <si>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</si>
  <si>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</si>
  <si>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</si>
  <si>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</si>
  <si>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</si>
  <si>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</si>
  <si>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</si>
  <si>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</si>
  <si>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</si>
  <si>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</si>
  <si>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</si>
  <si>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</si>
  <si>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</si>
  <si>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</si>
  <si>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</si>
  <si>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</si>
  <si>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</si>
  <si>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</si>
  <si>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</si>
  <si>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</si>
  <si>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</si>
  <si>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</si>
  <si>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</si>
  <si>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</si>
  <si>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</si>
  <si>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</si>
  <si>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</si>
  <si>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</si>
  <si>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</si>
  <si>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</si>
  <si>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</si>
  <si>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</si>
  <si>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</si>
  <si>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</si>
  <si>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</si>
  <si>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</si>
  <si>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</si>
  <si>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</si>
  <si>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</si>
  <si>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</si>
  <si>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</si>
  <si>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</si>
  <si>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</si>
  <si>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</si>
  <si>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</si>
  <si>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</si>
  <si>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</si>
  <si>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</si>
  <si>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</si>
  <si>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</si>
  <si>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</si>
  <si>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</si>
  <si>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</si>
  <si>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</si>
  <si>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</si>
  <si>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</si>
  <si>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</si>
  <si>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</si>
  <si>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</si>
  <si>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</si>
  <si>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</si>
  <si>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</si>
  <si>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</si>
  <si>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</si>
  <si>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</si>
  <si>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</si>
  <si>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</si>
  <si>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</si>
  <si>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</si>
  <si>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</si>
  <si>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</si>
  <si>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</si>
  <si>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</si>
  <si>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</si>
  <si>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</si>
  <si>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</si>
  <si>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</si>
  <si>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</si>
  <si>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</si>
  <si>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</si>
  <si>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</si>
  <si>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</si>
  <si>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</si>
  <si>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</si>
  <si>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</si>
  <si>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</si>
  <si>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</si>
  <si>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</si>
  <si>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</si>
  <si>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</si>
  <si>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</si>
  <si>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</si>
  <si>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</si>
  <si>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</si>
  <si>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</si>
  <si>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</si>
  <si>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</si>
  <si>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</si>
  <si>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</si>
  <si>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</si>
  <si>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</si>
  <si>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</si>
  <si>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</si>
  <si>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</si>
  <si>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</si>
  <si>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</si>
  <si>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</si>
  <si>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</si>
  <si>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</si>
  <si>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</si>
  <si>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</si>
  <si>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</si>
  <si>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</si>
  <si>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</si>
  <si>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</si>
  <si>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</si>
  <si>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</si>
  <si>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</si>
  <si>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</si>
  <si>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</si>
  <si>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</si>
  <si>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</si>
  <si>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</si>
  <si>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</si>
  <si>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</si>
  <si>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</si>
  <si>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</si>
  <si>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</si>
  <si>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</si>
  <si>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</si>
  <si>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</si>
  <si>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</si>
  <si>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</si>
  <si>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</si>
  <si>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</si>
  <si>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</si>
  <si>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</si>
  <si>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</si>
  <si>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</si>
  <si>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</si>
  <si>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</si>
  <si>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</si>
  <si>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</si>
  <si>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</si>
  <si>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</si>
  <si>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</si>
  <si>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</si>
  <si>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</si>
  <si>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</si>
  <si>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</si>
  <si>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</si>
  <si>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</si>
  <si>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</si>
  <si>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</si>
  <si>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</si>
  <si>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</si>
  <si>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</si>
  <si>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</si>
  <si>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</si>
  <si>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</si>
  <si>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</si>
  <si>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</si>
  <si>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</si>
  <si>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</si>
  <si>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</si>
  <si>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</si>
  <si>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</si>
  <si>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</si>
  <si>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</si>
  <si>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</si>
  <si>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</si>
  <si>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</si>
  <si>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</si>
  <si>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</si>
  <si>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</si>
  <si>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</si>
  <si>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</si>
  <si>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</si>
  <si>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</si>
  <si>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</si>
  <si>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</si>
  <si>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</si>
  <si>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</si>
  <si>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</si>
  <si>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</si>
  <si>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</si>
  <si>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</si>
  <si>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</si>
  <si>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</si>
  <si>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</si>
  <si>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</si>
  <si>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</si>
  <si>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</si>
  <si>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</si>
  <si>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</si>
  <si>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</si>
  <si>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</si>
  <si>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</si>
  <si>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</si>
  <si>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</si>
  <si>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</si>
  <si>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</si>
  <si>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</si>
  <si>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</si>
  <si>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</si>
  <si>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</si>
  <si>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</si>
  <si>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</si>
  <si>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</si>
  <si>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</si>
  <si>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</si>
  <si>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</si>
  <si>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</si>
  <si>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</si>
  <si>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</si>
  <si>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</si>
  <si>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</si>
  <si>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</si>
  <si>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</si>
  <si>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</si>
  <si>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</si>
  <si>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</si>
  <si>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</si>
  <si>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</si>
  <si>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</si>
  <si>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</si>
  <si>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</si>
  <si>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</si>
  <si>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</si>
  <si>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</si>
  <si>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</si>
  <si>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</si>
  <si>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</si>
  <si>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</si>
  <si>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</si>
  <si>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</si>
  <si>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</si>
  <si>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</si>
  <si>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</si>
  <si>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</si>
  <si>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</si>
  <si>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</si>
  <si>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</si>
  <si>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</si>
  <si>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</si>
  <si>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</si>
  <si>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</si>
  <si>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</si>
  <si>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</si>
  <si>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</si>
  <si>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</si>
  <si>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</si>
  <si>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</si>
  <si>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</si>
  <si>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</si>
  <si>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</si>
  <si>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</si>
  <si>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</si>
  <si>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</si>
  <si>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</si>
  <si>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</si>
  <si>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</si>
  <si>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</si>
  <si>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</si>
  <si>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</si>
  <si>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</si>
  <si>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</si>
  <si>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</si>
  <si>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</si>
  <si>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</si>
  <si>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</si>
  <si>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</si>
  <si>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</si>
  <si>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</si>
  <si>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</si>
  <si>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</si>
  <si>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</si>
  <si>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</si>
  <si>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</si>
  <si>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</si>
  <si>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</si>
  <si>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</si>
  <si>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</si>
  <si>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</si>
  <si>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</si>
  <si>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</si>
  <si>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</si>
  <si>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</si>
  <si>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</si>
  <si>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</si>
  <si>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</si>
  <si>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</si>
  <si>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</si>
  <si>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</si>
  <si>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</si>
  <si>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</si>
  <si>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</si>
  <si>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</si>
  <si>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</si>
  <si>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</si>
  <si>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</si>
  <si>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</si>
  <si>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</si>
  <si>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</si>
  <si>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</si>
  <si>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</si>
  <si>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</si>
  <si>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</si>
  <si>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</si>
  <si>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</si>
  <si>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</si>
  <si>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</si>
  <si>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</si>
  <si>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</si>
  <si>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</si>
  <si>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</si>
  <si>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</si>
  <si>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</si>
  <si>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</si>
  <si>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</si>
  <si>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</si>
  <si>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</si>
  <si>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</si>
  <si>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</si>
  <si>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</si>
  <si>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</si>
  <si>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</si>
  <si>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</si>
  <si>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</si>
  <si>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</si>
  <si>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</si>
  <si>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</si>
  <si>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</si>
  <si>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</si>
  <si>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</si>
  <si>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</si>
  <si>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</si>
  <si>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</si>
  <si>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</si>
  <si>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</si>
  <si>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</si>
  <si>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</si>
  <si>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</si>
  <si>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</si>
  <si>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</si>
  <si>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</si>
  <si>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</si>
  <si>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</si>
  <si>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</si>
  <si>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</si>
  <si>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</si>
  <si>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</si>
  <si>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</si>
  <si>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</si>
  <si>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</si>
  <si>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</si>
  <si>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</si>
  <si>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</si>
  <si>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</si>
  <si>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</si>
  <si>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</si>
  <si>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</si>
  <si>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</si>
  <si>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</si>
  <si>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</si>
  <si>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</si>
  <si>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</si>
  <si>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</si>
  <si>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</si>
  <si>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</si>
  <si>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</si>
  <si>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</si>
  <si>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</si>
  <si>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</si>
  <si>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</si>
  <si>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</si>
  <si>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</si>
  <si>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</si>
  <si>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</si>
  <si>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</si>
  <si>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</si>
  <si>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</si>
  <si>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</si>
  <si>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</si>
  <si>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</si>
  <si>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</si>
  <si>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</si>
  <si>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</si>
  <si>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</si>
  <si>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</si>
  <si>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</si>
  <si>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</si>
  <si>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</si>
  <si>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</si>
  <si>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</si>
  <si>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</si>
  <si>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</si>
  <si>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</si>
  <si>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</si>
  <si>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</si>
  <si>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</si>
  <si>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</si>
  <si>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</si>
  <si>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</si>
  <si>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</si>
  <si>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</si>
  <si>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</si>
  <si>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</si>
  <si>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</si>
  <si>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</si>
  <si>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</si>
  <si>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</si>
  <si>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</si>
  <si>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</si>
  <si>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</si>
  <si>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</si>
  <si>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</si>
  <si>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</si>
  <si>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</si>
  <si>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</si>
  <si>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</si>
  <si>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</si>
  <si>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</si>
  <si>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</si>
  <si>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</si>
  <si>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</si>
  <si>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</si>
  <si>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</si>
  <si>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</si>
  <si>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</si>
  <si>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</si>
  <si>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</si>
  <si>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</si>
  <si>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</si>
  <si>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</si>
  <si>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</si>
  <si>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</si>
  <si>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</si>
  <si>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</si>
  <si>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</si>
  <si>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</si>
  <si>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</si>
  <si>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</si>
  <si>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</si>
  <si>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</si>
  <si>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</si>
  <si>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</si>
  <si>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</si>
  <si>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</si>
  <si>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</si>
  <si>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</si>
  <si>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</si>
  <si>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</si>
  <si>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</si>
  <si>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</si>
  <si>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</si>
  <si>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</si>
  <si>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</si>
  <si>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</si>
  <si>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</si>
  <si>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</si>
  <si>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</si>
  <si>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</si>
  <si>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</si>
  <si>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</si>
  <si>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</si>
  <si>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</si>
  <si>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</si>
  <si>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</si>
  <si>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</si>
  <si>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</si>
  <si>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</si>
  <si>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</si>
  <si>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</si>
  <si>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</si>
  <si>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</si>
  <si>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</si>
  <si>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</si>
  <si>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</si>
  <si>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</si>
  <si>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</si>
  <si>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</si>
  <si>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</si>
  <si>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</si>
  <si>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</si>
  <si>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</si>
  <si>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</si>
  <si>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</si>
  <si>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</si>
  <si>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</si>
  <si>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</si>
  <si>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</si>
  <si>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</si>
  <si>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</si>
  <si>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</si>
  <si>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</si>
  <si>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</si>
  <si>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</si>
  <si>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</si>
  <si>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</si>
  <si>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</si>
  <si>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</si>
  <si>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</si>
  <si>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</si>
  <si>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</si>
  <si>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</si>
  <si>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</si>
  <si>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</si>
  <si>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</si>
  <si>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</si>
  <si>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</si>
  <si>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</si>
  <si>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</si>
  <si>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</si>
  <si>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</si>
  <si>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</si>
  <si>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</si>
  <si>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</si>
  <si>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</si>
  <si>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</si>
  <si>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</si>
  <si>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</si>
  <si>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</si>
  <si>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</si>
  <si>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</si>
  <si>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</si>
  <si>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</si>
  <si>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</si>
  <si>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</si>
  <si>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</si>
  <si>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</si>
  <si>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</si>
  <si>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</si>
  <si>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</si>
  <si>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</si>
  <si>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</si>
  <si>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</si>
  <si>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</si>
  <si>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</si>
  <si>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</si>
  <si>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</si>
  <si>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</si>
  <si>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</si>
  <si>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</si>
  <si>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</si>
  <si>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</si>
  <si>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</si>
  <si>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</si>
  <si>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</si>
  <si>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</si>
  <si>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</si>
  <si>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</si>
  <si>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</si>
  <si>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</si>
  <si>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</si>
  <si>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</si>
  <si>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</si>
  <si>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</si>
  <si>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</si>
  <si>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</si>
  <si>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</si>
  <si>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</si>
  <si>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</si>
  <si>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</si>
  <si>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</si>
  <si>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</si>
  <si>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</si>
  <si>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</si>
  <si>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</si>
  <si>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</si>
  <si>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</si>
  <si>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</si>
  <si>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</si>
  <si>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</si>
  <si>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</si>
  <si>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</si>
  <si>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</si>
  <si>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</si>
  <si>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</si>
  <si>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</si>
  <si>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</si>
  <si>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</si>
  <si>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</si>
  <si>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</si>
  <si>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</si>
  <si>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</si>
  <si>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</si>
  <si>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</si>
  <si>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</si>
  <si>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</si>
  <si>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</si>
  <si>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</si>
  <si>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</si>
  <si>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</si>
  <si>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</si>
  <si>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</si>
  <si>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</si>
  <si>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</si>
  <si>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</si>
  <si>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</si>
  <si>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</si>
  <si>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</si>
  <si>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</si>
  <si>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</si>
  <si>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</si>
  <si>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</si>
  <si>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</si>
  <si>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</si>
  <si>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</si>
  <si>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</si>
  <si>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</si>
  <si>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</si>
  <si>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</si>
  <si>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</si>
  <si>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</si>
  <si>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</si>
  <si>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</si>
  <si>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</si>
  <si>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</si>
  <si>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</si>
  <si>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</si>
  <si>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</si>
  <si>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</si>
  <si>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</si>
  <si>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</si>
  <si>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</si>
  <si>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</si>
  <si>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</si>
  <si>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</si>
  <si>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</si>
  <si>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</si>
  <si>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</si>
  <si>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</si>
  <si>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</si>
  <si>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</si>
  <si>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</si>
  <si>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</si>
  <si>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</si>
  <si>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</si>
  <si>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</si>
  <si>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</si>
  <si>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</si>
  <si>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</si>
  <si>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</si>
  <si>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</si>
  <si>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</si>
  <si>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</si>
  <si>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</si>
  <si>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</si>
  <si>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</si>
  <si>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</si>
  <si>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</si>
  <si>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</si>
  <si>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</si>
  <si>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</si>
  <si>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</si>
  <si>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</si>
  <si>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</si>
  <si>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</si>
  <si>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</si>
  <si>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</si>
  <si>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</si>
  <si>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</si>
  <si>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</si>
  <si>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</si>
  <si>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</si>
  <si>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</si>
  <si>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</si>
  <si>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</si>
  <si>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</si>
  <si>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</si>
  <si>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</si>
  <si>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</si>
  <si>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</si>
  <si>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</si>
  <si>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</si>
  <si>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</si>
  <si>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</si>
  <si>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</si>
  <si>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</si>
  <si>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</si>
  <si>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</si>
  <si>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</si>
  <si>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</si>
  <si>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</si>
  <si>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</si>
  <si>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</si>
  <si>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</si>
  <si>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</si>
  <si>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</si>
  <si>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</si>
  <si>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</si>
  <si>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</si>
  <si>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</si>
  <si>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</si>
  <si>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</si>
  <si>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</si>
  <si>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</si>
  <si>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</si>
  <si>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</si>
  <si>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</si>
  <si>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</si>
  <si>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</si>
  <si>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</si>
  <si>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</si>
  <si>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</si>
  <si>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</si>
  <si>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</si>
  <si>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</si>
  <si>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</si>
  <si>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</si>
  <si>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</si>
  <si>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</si>
  <si>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</si>
  <si>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</si>
  <si>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</si>
  <si>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</si>
  <si>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</si>
  <si>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</si>
  <si>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</si>
  <si>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</si>
  <si>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</si>
  <si>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</si>
  <si>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</si>
  <si>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</si>
  <si>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</si>
  <si>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</si>
  <si>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</si>
  <si>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</si>
  <si>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</si>
  <si>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</si>
  <si>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</si>
  <si>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</si>
  <si>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</si>
  <si>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</si>
  <si>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</si>
  <si>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</si>
  <si>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</si>
  <si>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</si>
  <si>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</si>
  <si>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</si>
  <si>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</si>
  <si>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</si>
  <si>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</si>
  <si>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</si>
  <si>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</si>
  <si>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</si>
  <si>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</si>
  <si>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</si>
  <si>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</si>
  <si>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</si>
  <si>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</si>
  <si>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</si>
  <si>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</si>
  <si>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</si>
  <si>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</si>
  <si>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</si>
  <si>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</si>
  <si>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</si>
  <si>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</si>
  <si>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</si>
  <si>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</si>
  <si>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</si>
  <si>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</si>
  <si>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</si>
  <si>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</si>
  <si>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</si>
  <si>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</si>
  <si>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</si>
  <si>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</si>
  <si>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</si>
  <si>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</si>
  <si>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</si>
  <si>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</si>
  <si>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</si>
  <si>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</si>
  <si>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</si>
  <si>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</si>
  <si>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</si>
  <si>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</si>
  <si>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</si>
  <si>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</si>
  <si>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</si>
  <si>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</si>
  <si>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</si>
  <si>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</si>
  <si>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</si>
  <si>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</si>
  <si>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</si>
  <si>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</si>
  <si>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</si>
  <si>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</si>
  <si>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</si>
  <si>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</si>
  <si>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</si>
  <si>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</si>
  <si>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</si>
  <si>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</si>
  <si>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</si>
  <si>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</si>
  <si>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</si>
  <si>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</si>
  <si>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</si>
  <si>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</si>
  <si>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</si>
  <si>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</si>
  <si>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</si>
  <si>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</si>
  <si>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</si>
  <si>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</si>
  <si>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</si>
  <si>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</si>
  <si>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</si>
  <si>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</si>
  <si>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</si>
  <si>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</si>
  <si>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</si>
  <si>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</si>
  <si>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</si>
  <si>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</si>
  <si>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</si>
  <si>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</si>
  <si>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</si>
  <si>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</si>
  <si>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</si>
  <si>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</si>
  <si>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</si>
  <si>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</si>
  <si>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</si>
  <si>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</si>
  <si>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</si>
  <si>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</si>
  <si>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</si>
  <si>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</si>
  <si>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</si>
  <si>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</si>
  <si>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</si>
  <si>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</si>
  <si>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</si>
  <si>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</si>
  <si>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</si>
  <si>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</si>
  <si>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</si>
  <si>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</si>
  <si>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</si>
  <si>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</si>
  <si>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</si>
  <si>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</si>
  <si>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</si>
  <si>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</si>
  <si>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</si>
  <si>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</si>
  <si>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</si>
  <si>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</si>
  <si>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</si>
  <si>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</si>
  <si>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</si>
  <si>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</si>
  <si>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</si>
  <si>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</si>
  <si>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</si>
  <si>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</si>
  <si>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</si>
  <si>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</si>
  <si>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</si>
  <si>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</si>
  <si>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</si>
  <si>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</si>
  <si>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</si>
  <si>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</si>
  <si>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</si>
  <si>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</si>
  <si>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</si>
  <si>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</si>
  <si>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</si>
  <si>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</si>
  <si>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</si>
  <si>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</si>
  <si>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</si>
  <si>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</si>
  <si>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</si>
  <si>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</si>
  <si>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</si>
  <si>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</si>
  <si>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</si>
  <si>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</si>
  <si>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</si>
  <si>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</si>
  <si>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</si>
  <si>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</si>
  <si>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</si>
  <si>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</si>
  <si>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</si>
  <si>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</si>
  <si>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</si>
  <si>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</si>
  <si>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</si>
  <si>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</si>
  <si>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</si>
  <si>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</si>
  <si>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</si>
  <si>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</si>
  <si>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</si>
  <si>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</si>
  <si>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</si>
  <si>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</si>
  <si>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</si>
  <si>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</si>
  <si>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</si>
  <si>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</si>
  <si>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</si>
  <si>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</si>
  <si>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</si>
  <si>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</si>
  <si>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</si>
  <si>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</si>
  <si>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</si>
  <si>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</si>
  <si>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</si>
  <si>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</si>
  <si>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</si>
  <si>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</si>
  <si>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</si>
  <si>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</si>
  <si>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</si>
  <si>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</si>
  <si>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</si>
  <si>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</si>
  <si>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</si>
  <si>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</si>
  <si>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</si>
  <si>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</si>
  <si>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</si>
  <si>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</si>
  <si>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</si>
  <si>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</si>
  <si>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</si>
  <si>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</si>
  <si>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Martin H. Petersen</t>
  </si>
  <si>
    <t>Manager of the GP</t>
  </si>
  <si>
    <t>ppetersen@hallmarkco.com</t>
  </si>
  <si>
    <t>3111 Paces Mill Road, Suite A-250</t>
  </si>
  <si>
    <t>For Profit</t>
  </si>
  <si>
    <t>Manager</t>
  </si>
  <si>
    <t>www.hallmarkco.com</t>
  </si>
  <si>
    <t>Boston Financial Investment Management, LP</t>
  </si>
  <si>
    <t>Thomas Paramore</t>
  </si>
  <si>
    <t>6006 Brownsboro Park Blvd, Suite B</t>
  </si>
  <si>
    <t>Senior Vice President</t>
  </si>
  <si>
    <t>www.bfim.com</t>
  </si>
  <si>
    <t>thomas.paramore@bfim.com</t>
  </si>
  <si>
    <t>Hallmark Development Partners, LLC</t>
  </si>
  <si>
    <t>Great Southern, LLC</t>
  </si>
  <si>
    <t>Mike McGlamry</t>
  </si>
  <si>
    <t>2009 Springhill Drive</t>
  </si>
  <si>
    <t>www.greatsouthernllc.com</t>
  </si>
  <si>
    <t>mike@greatsouthernllc.com</t>
  </si>
  <si>
    <t xml:space="preserve">Hallmark Management, Inc. </t>
  </si>
  <si>
    <t>President</t>
  </si>
  <si>
    <t>Coleman Talley, LLP</t>
  </si>
  <si>
    <t>Greg Clark</t>
  </si>
  <si>
    <t>109 South Ashley Street</t>
  </si>
  <si>
    <t>Partner</t>
  </si>
  <si>
    <t>www.colemantalley.com</t>
  </si>
  <si>
    <t>greg.clark@colemantalley.com</t>
  </si>
  <si>
    <t>Tidwell Group</t>
  </si>
  <si>
    <t>Barry Tidwell</t>
  </si>
  <si>
    <t>2001 Park Place, Suite 900</t>
  </si>
  <si>
    <t>Managing Partner</t>
  </si>
  <si>
    <t>Birmingham</t>
  </si>
  <si>
    <t>www.tidwellgroup.com</t>
  </si>
  <si>
    <t>barry.tidwell@tidwellgroup.com</t>
  </si>
  <si>
    <t>Studio 8 Design</t>
  </si>
  <si>
    <t>James Ingram</t>
  </si>
  <si>
    <t xml:space="preserve">2722 North Oak Street </t>
  </si>
  <si>
    <t>www.s8architects.com</t>
  </si>
  <si>
    <t>jingam@s8architects.com</t>
  </si>
  <si>
    <t>Owner and Management Company and Developer</t>
  </si>
  <si>
    <t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t>
  </si>
  <si>
    <t>Hallmark Management, Inc.</t>
  </si>
  <si>
    <t xml:space="preserve">Martin H. Petersen is the Manager of the Managing General Partner for the Owner/Applicant and the Manager of the Developer.  He is the President of Hallmark Management, Inc., the property manager.  </t>
  </si>
  <si>
    <t>Hallmark Wagon Works, LP</t>
  </si>
  <si>
    <t>Hallmark Wagon Works GP, LLC</t>
  </si>
  <si>
    <t>Colony Camp Creek, LLC</t>
  </si>
  <si>
    <t>Scott Henderson</t>
  </si>
  <si>
    <t>2300 Bethelview Road, Suite 110-329</t>
  </si>
  <si>
    <t>scott@onestonellc.com</t>
  </si>
  <si>
    <t>Wagon Works (the “Property”) is the proposed conversion of a historic 1800’s wagon manufacturing facility into an 89-unit apartment community designed to serve Family tenancy in East Point and the surrounding Fulton County, Georgia areas.  The proposed project will support local area business growth and provides a solution to the lack of affordable rental housing in the area.
East Point is a historic city that sits at the apex of three major interstates, just south of downtown Atlanta.  The property site is 5-10 miles from many of Atlanta’s most coveted attractions and is only two MARTA stops north of the Hartsfield-Jackson Atlanta International Airport, the busiest passenger airport in the world.  Historic Downtown East Point has recently undergone a revitalization and has retail and restaurants in close proximity to the property site.  Organizations like the East Point Main Street Association, Keep East Point Beautiful and the East Point Historical Society are working to revitalize the area while preserving its character. The proposed project site is close to numerous jobs, several schools and many desirable amenities.  
The proposed Family apartment community will include spacious 1-, 2- and 3-Bedroom floorplans and will have common area on-site amenities including a computer room, community room with kitchenette, laundry facility, gazebo, and exercise center.  Each rental unit will be fully equipped with energy efficient appliances such as: refrigerator &amp; freezer/icemaker, microwave, range stove top with oven, washer/dryer connections, and ceiling fans in bedroom &amp; living room areas. 
The Ownership &amp; Development Team’s Qualifications:
The proposed ownership entity (Hallmark Wagon Works,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Wagon Works.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300 multi-family properties (approximately 14,000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300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t>
  </si>
  <si>
    <t>9% Credit Competitive Round only</t>
  </si>
  <si>
    <t>2021PA-003</t>
  </si>
  <si>
    <t>Thompson Kurrie III</t>
  </si>
  <si>
    <t>tkurrie@hallmarkco.com</t>
  </si>
  <si>
    <t>Wagon Works</t>
  </si>
  <si>
    <t>1514 E. Cleveland Avenue</t>
  </si>
  <si>
    <t>110.00</t>
  </si>
  <si>
    <t>City Limits</t>
  </si>
  <si>
    <t>City of East Point</t>
  </si>
  <si>
    <t>Deana Holiday Ingraham</t>
  </si>
  <si>
    <t>Mayor</t>
  </si>
  <si>
    <t>www.eastpointcity.org</t>
  </si>
  <si>
    <t>2757 E. Point Street</t>
  </si>
  <si>
    <t>Other Non-Senior</t>
  </si>
  <si>
    <t>COMMERCIAL</t>
  </si>
  <si>
    <t>William A. Glisson</t>
  </si>
  <si>
    <t>Ashton Place</t>
  </si>
  <si>
    <t>East Point Housing Authority</t>
  </si>
  <si>
    <t>Low-Rise Elevator</t>
  </si>
  <si>
    <t>Electric Heat Pump</t>
  </si>
  <si>
    <t>Novogradac</t>
  </si>
  <si>
    <t>DDA/QCT</t>
  </si>
  <si>
    <t>Amortizing</t>
  </si>
  <si>
    <t>Boston Financial Investment Management, Inc.</t>
  </si>
  <si>
    <t>Cadence Bank</t>
  </si>
  <si>
    <t>Agree</t>
  </si>
  <si>
    <t>N/ap</t>
  </si>
  <si>
    <t>N/Ap</t>
  </si>
  <si>
    <t>John Wall &amp; Associates</t>
  </si>
  <si>
    <t>East Point Power</t>
  </si>
  <si>
    <t>Room</t>
  </si>
  <si>
    <t>Gazebo</t>
  </si>
  <si>
    <t>On-site laundry</t>
  </si>
  <si>
    <t>Zeffert &amp; Associates</t>
  </si>
  <si>
    <t>Yes - W&amp;D hookups installed in each unit</t>
  </si>
  <si>
    <t>The applicant agrees to all DCA requirements for Architectural Design and Quality Standards.</t>
  </si>
  <si>
    <t>Not Applicable</t>
  </si>
  <si>
    <t>The applicant and proposed management agent (Hallmark Management, Inc.) agree to submit an (AFFH) Plan as outlined in the selections above.  This plan will ensure the required Affrimatively Furthering Fair Housing procedures are enacted and carried out on the project.</t>
  </si>
  <si>
    <t>MARTA</t>
  </si>
  <si>
    <t>404-848-5000</t>
  </si>
  <si>
    <t>jvallo@itsmarta.com</t>
  </si>
  <si>
    <t>https://www.itsmarta.com/East-Point.aspx</t>
  </si>
  <si>
    <t>Wagon Works is located adjacent to the East Point Marta Transit HUB.  The East Point is a train station is located at 2848 East Main Street in East Point, Georgia, serving the Red and Gold lines of the Metropolitan Atlanta Rapid Transit Authority (MARTA) rail system. It has an island platform between two tracks. It was opened on August 16, 1986. In addition to the Red and Gold rail lines the station also includes nearly 1000 parking spaces and has four connecting bus routes, Route 78, Route 84, Route 192, and Route 193. A copy of the rail and bus schedules along with the cost of service are included in tab 280105 of the Wagon Works application. It mainly serves East Point, Camp Creek, and unincorporated South Fulton and College Park. This station provides access to Downtown East Point historic dining-shopping-urban renewal district, and East Point Public Library. Bus service is provided at this station to Atlanta Medical Center-South Campus, Brownsmill Golf Course, Point University, Fulton County Board of Education, Camp Creek Market Place, Fulton HJC Bowden Senior Center, Cleveland Avenue and Grady East Point Health Center. The planned Clayton County commuter rail is expected to terminate here.</t>
  </si>
  <si>
    <t>Hamilton E. Holmes Elementary</t>
  </si>
  <si>
    <t>Pal D. West Middle School</t>
  </si>
  <si>
    <t xml:space="preserve">Two of the three schools meet the "Beating the Odds Designation" for Wagon Works.  Please see the Beating the Odds for 2019 included within the application along with the district map from the Fulton County School District Website.  </t>
  </si>
  <si>
    <t>8, 13, 14, 50, 60, 73, 77</t>
  </si>
  <si>
    <t>46-50</t>
  </si>
  <si>
    <t>131-156</t>
  </si>
  <si>
    <t xml:space="preserve">The project qualifies as a TOD therefore it qualifies for 3 points in the section. Please see the required documentation in Tab 35 of the application.  </t>
  </si>
  <si>
    <t>N/a</t>
  </si>
  <si>
    <t xml:space="preserve">East Point is a Freshman GICH Community Member.  Therefore Wagon Works does not qualify for these points.  </t>
  </si>
  <si>
    <t>Certified historic structure - contributing structure in NR Historic District</t>
  </si>
  <si>
    <t xml:space="preserve">The White Hickory Wagon Manufacturing Company (Wagon Works) was one of the earliest buildings constructed in East Point, Georgia.  Constructed in 1884 and located on East Cleveland Avenue, it is comprised of several attached one and two-story brick structures.  Wagon Works is located within the East Point Industrial Historic District in downtown East Point along with four other historic complexes including the Buggy Works, Couch Brothers Cotton Mills, Atlanta Utility Works, and the Oak Knitting Mill Buildings.  
The White Hickory Wagon Manufacturing Company, which began operation in 1884, produced wagons until the 1920’s when motorized farm vehicles replaced the wagon as the primary farm vehicle.  The company supplied wagons to much of the southeast for about forty years.  After White Hickory went out of business the Wagon Works building became owned by the O’Neill Brothers Cotton Linters &amp; Waste Textile Company from 1960 to 1984.  A group of investors purchased the Wagon Works building within the last decade and remodeled it into office and retail space.  The Covid-19 Pandemic was detrimental to the operations of the building as companies moved to a work from home model and retail companies went out of businesses.
Please find the Part 1 – Evaluation of Significance along with National Register of Historic Places Inventory-Nomination Form dated 7/11/1985 as reference to the Historic Structure of the Wagon Works.  </t>
  </si>
  <si>
    <t>6 months</t>
  </si>
  <si>
    <t>15-024</t>
  </si>
  <si>
    <t>Mallalieu Pointe</t>
  </si>
  <si>
    <t>20-024</t>
  </si>
  <si>
    <t>Diamond College Park</t>
  </si>
  <si>
    <t>04-034</t>
  </si>
  <si>
    <t>Heritage Green</t>
  </si>
  <si>
    <t>99-039</t>
  </si>
  <si>
    <t>Village of College Park (4%)</t>
  </si>
  <si>
    <t>02-035</t>
  </si>
  <si>
    <t>Boston Financial Investment Management, Inc. (State and Federal)</t>
  </si>
  <si>
    <t xml:space="preserve">The applicant used allowances for Tenant Furnished Utilities posted by East Point Housing Authority as of February 1, 2020 per the 2021 GA DCA QAP guidance.  East Point Housing Authority updates Utility Allowances in February of each year.  Therefore to meet DCA requirements the applicant submitted the 2-1-20 Utility Allowance Schedule which was still in effect as of 1-1-21.  For further information and break-down of utility allowances please Tab 1 in this application.  East Point Housing Authority uses the Attached Multi-level two story including Townhomes Utility Allowance Chart for all multi-level properties.  Please see letter from Michael Spann, Executive Director in Tab 1 for confirmation.  </t>
  </si>
  <si>
    <t xml:space="preserve">Boston Financial Investment Management, Inc. </t>
  </si>
  <si>
    <t>Non-residential occupants</t>
  </si>
  <si>
    <t xml:space="preserve">Permanent financing and construction financing for the proposed project are being provided by Cadence Bank.  Boston Financial Investment Management, LP is making a capital contribution of $8,909,100, which is equal to $0.90 for 98.99% of the allocated Federal Credits from the Partnership.  Boston Financial  is making a capital contribution of $6,090,000, which is equal to $0.90 for 1% of the allocated Federal Credits and $0.60 for 100% of the State Credits from the Partnership.   Combined Boston Financial is 99.99% of the partnership with capital contribution of $14,999,100 for the LIHTC equity.  Boston Financial Investment Management, Inc. is providing $1,643,652 in Federal Historic Equity and $240,000 in State Historic Equity for a combined $1,883,652. The preliminary commitment letter terms matches the Federal Partner's percentages, funding delivery schedules, and all other timing measures.  Sixty percent of the tax credit and historic equity will be funded during the construction phase of the project.  Hallmark Development Partners, LLC is deferring a portion of the earned developer fee during the construction phase and anticipates deferring less that 25% of the developer fee during the permanent phase.  The developer fee will be paid within 7 years from projected cash flow.  Cadence Bank and the Historic Investor are providing financing for both the Residential and Commercial Components of the mixed use project.  The sources listed above are the portion of sources allocated to the residential uses of the building only.   Please see all documentation in Tab 1 of the application for further details regarding financing and equity sources including the budgetary information for the Commercial component of the project.  </t>
  </si>
  <si>
    <t>dholidayingraham@eastpointycity.org</t>
  </si>
  <si>
    <t>At time of application there are 18 businesses occupying 49 total units of retail/professional space in the proposed project.  Of these 13 are currently operating under a month-to-month lease.  The remaining 3 leases will expire prior to notification of a written award and will not be renewed.  Any tenant occupying space at the time of the written notification of the award will be given not less than 6 month’s advance notice to vacate.  The real estate contract states that the current owner will cover any relocation costs for eligible tenants.  However, there are expected to be no tenants remaining at time of redevelopment.</t>
  </si>
  <si>
    <t xml:space="preserve">There have been no changes to the development team since pre-application.  The team has been determinded "Qualified" by DCA for the 2021 funding application round.  
The total square footage for the building is 104,053 of which 3403 square feet of commercial space is included.  The applicant refelcted only the residential square footage along with the residential common area space in the space provided above in the application in Part 1 of 100,650 total square feet.    
</t>
  </si>
  <si>
    <t xml:space="preserve">Martin H. Petersen is the Manager of the General Partner of Hallmark Wagon Works,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Partners, a member of the General Partner.  </t>
  </si>
  <si>
    <t xml:space="preserve">There has been no change to the development team for the proposed project since pre-application.  All of the proposed development team members are experienced in ownership, development, and management of LIHTC multifamily housing.  Members of the development team also have relevant experience in the development of  adaptive reuse historic projects. </t>
  </si>
  <si>
    <t xml:space="preserve">The purchase price reflects the pruchase price for the Residential Portion of the building only in the Use of Funds tab.  The purchase price for the building is $8,355,000.  96.7% of the purchase price which is the residential portion of the building equates to $8,079,285.
The hard costs for construction were determined by multiple site visits with the architect, engineer, contractor, developer, and historical consultant.  Based upon these multiple meetings with these parties a scope was developed and costs estimated using actual and historical cost from the contractor and subcontractors.  
These costs included above are the costs allocable to the residential only portion of the building.  Please see Tab 1 for the other underwriting and information on the commerical portion of the building.
The proposed financing structure will utilize Historic Tax Credit Equity; and will be structured using the Master Tenant Lease Pass Through Structure therefore not reducing Eligible Basis.  The equity from the Historic Tax Credits are used in the Non-LIHTC Sources for the GAP calculation.  </t>
  </si>
  <si>
    <t xml:space="preserve">Rents are within tax credit guidelines.  
The estimated TAXES and INSURANCE are prorated at 96.7% of the acutal estimated cost and are for the residential portion of the project only.   The applicant allocated 3.3% of the purchase price, taxes, insurance, etc. to the commercial portion of the project.  The total square footage for the building is 104,053. Residential units and common area consist of 100,650 square feet and there is an additional 3403 square feet of commercial space.    
REAL ESTATE TAXES
The applicant prepared an estimated 2021-2022 real estate tax expense calculation by using the purchase price of the proposed acquisition of $8,355,000 and the current Millage Rates approved by the City of East Point and Fulton County based on the 2020 Millage Rates.  The real estate taxes reflected in the expense portion above are for the residential portion of the project only.  Please see Tab 1 for documentation.  
INSURANCE 
The property insurance expense estimate was based on actual quoted numbers.  The insurance cost reflected in the expense portion above are for the residential portion only.  Please see Tab 1 for documentation.  
</t>
  </si>
  <si>
    <t>Geotechnical &amp; Environmental Consultants, Inc.</t>
  </si>
  <si>
    <t xml:space="preserve">Geotechnical &amp; Environmental Consultants, Inc. </t>
  </si>
  <si>
    <t>Purchase Contract</t>
  </si>
  <si>
    <t xml:space="preserve">The applicant, Hallmark Wagon Works, LP, is the entity with site control.  The purchase and sale agreement between the applicant and the seller is included in Tab 8 of the application.  </t>
  </si>
  <si>
    <t>Atlanta Gas Light</t>
  </si>
  <si>
    <t>Gill Group</t>
  </si>
  <si>
    <t>Relocation specialist</t>
  </si>
  <si>
    <t>Custom Relocation Specialists</t>
  </si>
  <si>
    <t xml:space="preserve">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
</t>
  </si>
  <si>
    <t xml:space="preserve">Wagon Works has twelve (12) DCA Desirable Activities within the 1.5 mile walking distance, Five (5) of those desirables are within .5 miles of the project.  The project totals 31 points which more than exceeds the 20 point maximum for this scoring section.  </t>
  </si>
  <si>
    <t xml:space="preserve">Wagon Works is located within a QCT in the East Point LCI Main Street Corridor TOD Area Redevelopment Plan.  The plan was Initiated and funded by the City of East Point and the Atlanta Regional Commission through a Livable Centers Initiative grant in 2012, the over-arching goal of The TOD Plan is to create a regional model for how to effectively develop a thriving, mixed-use transit village that is economically viable and attractive to residents and businesses alike. Through a four-phase process that includes vision and understanding, community engagement, plan concepts and an acti on-focused implementati on plan, the eightmonth planning effort determined appropriate land uses, transportati on improvements, revitalizati on opportuniti es, and urban design to create a mixed-use, transit, and pedestrian friendly corridor that not only supports, yet also encourages short- and longrange alternate forms of transportation, especially transit.  
Wagon Works meets the Transit Oriented Development principles and goals for the plan to focus on walkable, mixed use areas integrated with transit (approximately within ½ mile of a transit station). By promoting mixed-income TOD, this plan looks holistically at land use and transportation to promote a mix of housing choices that serve a variety of people at different income levels and stages of their lifecycle. This supports the Atlanta Regional Commission’s goals for both the Livable Centers Initiative and Lifelong Communities Initiative, and importantly, complements MARTA’s goal of promoting “a sustainable, affordable, and growing future for the people of Metro Atlanta.” 
The City of East Point has implemented the plan since its adoption in 2015.  The city has invested or is scheduled to invest close to $60,000,000 within the past three years.  This includes a new city hall and amphitheater, civic auditorium, the East Point PATH, Streetscape Projects, etc.  All required documentation is located within tab 30 of the application verifying third party capital investment within .5 miles of the Wagon Works Redevelopment.  
</t>
  </si>
  <si>
    <t xml:space="preserve">The project is not a phased development, therefore not applicable.  </t>
  </si>
  <si>
    <t xml:space="preserve">The project qualifies for Historic Tax Credit proceeds.  The applicant is waiting on the Georgia Part A and Part II from SHPO.  It is expected to be completed in early June prior to the July 22nd deadline for "Alternate Financing" referenced in the Q&amp;A.s from March 18, 2021.  Please find the Part 1 – Evaluation of Significance along with National Register of Historic Places Inventory-Nomination Form dated 7/11/1985 as reference to the Historic Structure of the Wagon Works.  </t>
  </si>
  <si>
    <t>Though not required, Wagon Works, received a Resolution of Support from the City Council of East Point.  The resolution is included in the application in Tab 47.</t>
  </si>
  <si>
    <t xml:space="preserve">The applicant has submitted a proposed project which conforms to the guidelines in the 2021 GA DCA QAP.  All costs for the proposed redevelopment and construction have been carefully underwritten and reviewed by the experienced parties of the team.  Both the federal ($0.90) and state ($0.60) equity pricing terms and rates are competitive and have been provided by experienced syndicators/investment partners.  The projected operating expenses of $5,001 per unit have been reviewed and approved by the proposed management agent (Hallmark Management, Inc.).  Total Developer Fee and Deferred Developer Fee are within the 2021 GA DCA QAP limits.   </t>
  </si>
  <si>
    <t>The proposed project hard costs were determined with an experienced contractor utilizing benchmarking cost data from comparable current and past projects.  The applicant does not meet or exceed any DCA project cost limits.</t>
  </si>
  <si>
    <t xml:space="preserve">The project is designed for Family tenancy and offers a mix of one, two, and three bedroom unit floorplans.  The proposed project is ideally located in close proximity (0.2 miles) with walkability to the East Point Marta Station.  </t>
  </si>
  <si>
    <t>Applicant will provide at a minimum two of the required services as required for a property of this tenancy.</t>
  </si>
  <si>
    <t xml:space="preserve">The market study for our proposed project in East Point, GA outlines immediate strong demand, need and is overall highly supportive of our proposed project within the local area and rental market.  The overall capture rate for the proposed tax credit units in our market study report is 1.20%.  The are no market rate units in our proposed project, therefore the capture rate for market rate units is not applicable to our proposed project.  The absorption rate within our market study outlines a period of 6 months.  According to the market study the proposed development would have no long term impact on existing LIHTC developments within the immediate market.  For additional details, please see the full market study report in Tab 5 of this application.    </t>
  </si>
  <si>
    <t xml:space="preserve">Our proposed project is tax credit only and is not claiming acquisition tax credits.  There is no Identitiy of interest between the buyer and the seller.  Therefore, an appraisal report is not required for the application as per the applicable DCA 2021 QAP guidelines at this juncture. </t>
  </si>
  <si>
    <t xml:space="preserve">The site has direct access public roads. The site has vehicular access to R.N. Martin Street and pedestrian access to R.N. Martin and Cleveland Avenue.  Please see the pictures from the Proposed Entrance, Boundary Survey, Conceptual Site Plan and other documentation in our application for further verification of site access to public roads.   </t>
  </si>
  <si>
    <t>The current zoning for the property is MIX-C which includes multi-family as a permitted use within the zoning designation.  Please see the signed zoning verification letter and conditions executed by Tony Alston, Senior Planner, City of East Point located in Tab 10.</t>
  </si>
  <si>
    <t xml:space="preserve">East Point Power currently has electrical service available and will continue to have electrical service available for our proposed project.  Please see the executed letter from Shawn Dowe , director of East Point Power in Tab 11 of the application for further verification.  Natural Gas is also available to the site.  Please see natural gas availabilty verification letter from Atlanta Gas Light that is also included in the Tab 11 of the application for further verification. </t>
  </si>
  <si>
    <t xml:space="preserve">The City of East Point currently has water and sewer service available and will continue to have adequate water and sewer service/capacity available for ourm proposed project.  Please see the executed verification letter from Anthony Brown, City Engineer, Water and Sewer Department of East Point in Tab 12 of the application for further verification.  </t>
  </si>
  <si>
    <t>The proposed amenities appropriately meet the needs of the family tenancy in our proposed project.</t>
  </si>
  <si>
    <t xml:space="preserve">The conceptual site development plan produced by Studio 8 Design outlines all required information in accordance with the applicable 2021 GA DCA QAP guideliens.  Please also see the additional maps, site pictures, and aerial photos, which are also contained in Tab 16 of the application. </t>
  </si>
  <si>
    <t xml:space="preserve">The applicant agrees to comply with all accessibility standards and will engage a third party (non-related) DCA qualified consultant, Zeffert &amp; Associates, to monitor accessibility requirements and compliance through all applicable phases of our proposed project. </t>
  </si>
  <si>
    <t xml:space="preserve">Martin H. Petersen is determined "Qualified" as the Certifying Principal.  The DCA Determination letter is included within the application in Tab 20.  </t>
  </si>
  <si>
    <t>As of April, 2021, there were 18 occupied retail/professional spaces in the proposed project.  One space is occupied by the City of East Point as a policy substation at no cost.  Another tenant, Splash 205 Studios, occupies 5 spaces.  The majority of existing tenants (except for 3) are currently on a month to month lease agreement.  The 3 remaining tenants have leases that will expire prior to notification of a written tax credit award.  Any tenant(s) occupying space(s) at the time of the written notification of the award will be given a minimum of 6 months advance notice.  The terms of the purchase and agreement agreement state that the seller will be responsible for payment of all relocation costs for any tenants as applicable.</t>
  </si>
  <si>
    <t xml:space="preserve">The applicant is proposing the utilization of both LIHTC and Historic Tax Credit equity proceeds to facilitate the re-development of Wagon Works.  The proposed project is located adjacent to the Marta East Point station (0.2 miles &amp; with convienient walkablility).  The proposed project is also located within the East Point TOD Redevelopment Area.  The proposed project is an optimal utilization of the resources of the Low Income Housing Credit Program. </t>
  </si>
  <si>
    <t xml:space="preserve">The Environmental Phase I and Phase II prepared for the site found Radon, Asbestos, Lead and Brownfield issues.  Each of the issues were anticipated with the Historic Preservation of the former mill and have been budgeted for and addressed in the PNA, Rehab Scope of Work.  Materials that are not possible to abate due to the historic nature will be encapsulated and maintained in accordance with  the O&amp;M plans which have been included as addendums to the Environmental Reports.
 </t>
  </si>
  <si>
    <t>The applicant is proposing the historic preservation and conversion of an 1800’s building into an 89 unit apartment community including common areas and amenities detailed in the core application and Rehab Scope of Work in tab 15.  All of the immediate needs and remediation issues in the Physical Needs Assessment, Capital Replacement Reserve Fannie Mae Form and Environmental Site Assessments have been included in the Rehab Scope of work and meet the requirements of XV. Rehabilitation Standards: Sections A, B and C as outlined above.</t>
  </si>
  <si>
    <t xml:space="preserve">The applicant agrees to XVII. Building Sustainability: Sections A, B as outlined above.  The applicant has completed the required 30 minute Building Sustainability training. The points selected on the Earth Craft Multi-Family Renovation Worksheet will achieve Certified Certification and have been included in the Rehab Scope of Work in Tab 15 of the application.  The Renovation Worksheet is included in Tab 17 of the application.  
 </t>
  </si>
  <si>
    <t>2021-006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</si>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</sst>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Wagon Works</v>
      </c>
    </row>
    <row r="3" spans="1:6" ht="15" customHeight="1">
      <c r="A3" s="761" t="str">
        <f>CONCATENATE('Part I-Project Information'!F39,", ", 'Part I-Project Information'!J40," County")</f>
        <v>East Point, Fulton County</v>
      </c>
    </row>
    <row r="4" spans="1:6" ht="12" customHeight="1">
      <c r="A4" s="1197"/>
    </row>
    <row r="5" spans="1:6" ht="72" customHeight="1">
      <c r="A5" s="3131" t="s">
        <v>6898</v>
      </c>
      <c r="B5" s="3132" t="s">
        <v>4080</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ibRWHH5nbkWCpqMGMj+IkjvQMUQcbRhKL8GD1z6aJcZ3d49ZUeECrCevwXyUkwcRvNM1+svwdQvOnEv4/pu7aw==" saltValue="UW6+6I0JJjvoR2JYbr0bs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140625" style="307" bestFit="1" customWidth="1"/>
    <col min="19" max="19" width="9.140625" style="307"/>
    <col min="20" max="20" width="10.140625" style="307" bestFit="1" customWidth="1"/>
    <col min="21" max="25" width="9.140625" style="307"/>
    <col min="26" max="26" width="9.140625" style="1753"/>
    <col min="27" max="16384" width="9.140625" style="307"/>
  </cols>
  <sheetData>
    <row r="1" spans="1:26" s="2674" customFormat="1" ht="9" hidden="1" customHeight="1">
      <c r="A1" s="2673"/>
      <c r="B1" s="2673" t="s">
        <v>6618</v>
      </c>
      <c r="C1" s="2673"/>
      <c r="D1" s="2673"/>
      <c r="E1" s="2673"/>
      <c r="F1" s="2673" t="s">
        <v>6619</v>
      </c>
      <c r="G1" s="2673" t="s">
        <v>6620</v>
      </c>
      <c r="H1" s="2673" t="s">
        <v>6621</v>
      </c>
      <c r="I1" s="2673" t="s">
        <v>6622</v>
      </c>
      <c r="J1" s="2673" t="s">
        <v>6623</v>
      </c>
      <c r="K1" s="2673" t="s">
        <v>6624</v>
      </c>
      <c r="L1" s="2673"/>
      <c r="M1" s="2673"/>
      <c r="N1" s="2673" t="s">
        <v>6625</v>
      </c>
      <c r="O1" s="2673" t="s">
        <v>6626</v>
      </c>
      <c r="P1" s="2673" t="s">
        <v>6627</v>
      </c>
      <c r="Z1" s="1773">
        <v>1</v>
      </c>
    </row>
    <row r="2" spans="1:26" s="289" customFormat="1" ht="14.1" customHeight="1">
      <c r="A2" s="3133" t="str">
        <f>CONCATENATE("PART ONE - PROJECT INFORMATION"," - ",$O$7," ",$F$35,", ",'Part I-Project Information'!F39,", ",'Part I-Project Information'!J40," County")</f>
        <v>PART ONE - PROJECT INFORMATION - 2021-006 Wagon Works, East Point, Fulton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6281</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164" t="s">
        <v>6830</v>
      </c>
      <c r="C7" s="3164"/>
      <c r="D7" s="3164"/>
      <c r="E7" s="1067"/>
      <c r="F7" s="292"/>
      <c r="G7" s="266" t="s">
        <v>6294</v>
      </c>
      <c r="H7" s="2629"/>
      <c r="I7" s="2629"/>
      <c r="J7" s="2629"/>
      <c r="O7" s="3136" t="s">
        <v>7008</v>
      </c>
      <c r="P7" s="3137"/>
      <c r="Z7" s="1773">
        <v>7</v>
      </c>
    </row>
    <row r="8" spans="1:26" s="289" customFormat="1" ht="12" customHeight="1">
      <c r="B8" s="3164"/>
      <c r="C8" s="3164"/>
      <c r="D8" s="3164"/>
      <c r="E8" s="1067"/>
      <c r="F8" s="490"/>
      <c r="G8" s="170" t="s">
        <v>3079</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3402</v>
      </c>
      <c r="I10" s="3138">
        <f>'Part IV-A-Uses of Funds'!$J$197</f>
        <v>1000000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6899</v>
      </c>
      <c r="G12" s="3143"/>
      <c r="H12" s="3144"/>
      <c r="I12" s="2675" t="s">
        <v>3346</v>
      </c>
      <c r="J12" s="474" t="s">
        <v>6606</v>
      </c>
      <c r="K12" s="299"/>
      <c r="L12" s="2629"/>
      <c r="O12" s="3145" t="s">
        <v>6900</v>
      </c>
      <c r="P12" s="3146"/>
      <c r="Z12" s="1773">
        <v>12</v>
      </c>
    </row>
    <row r="13" spans="1:26" s="289" customFormat="1" ht="12.75" customHeight="1">
      <c r="A13" s="1711"/>
      <c r="B13" s="1326"/>
      <c r="C13" s="1326"/>
      <c r="D13" s="1326"/>
      <c r="E13" s="1326"/>
      <c r="H13" s="2629"/>
      <c r="J13" s="1011" t="s">
        <v>4082</v>
      </c>
      <c r="K13" s="1662"/>
      <c r="M13" s="2629"/>
      <c r="O13" s="3165" t="s">
        <v>2772</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4286</v>
      </c>
      <c r="C15" s="1326"/>
      <c r="D15" s="1326"/>
      <c r="E15" s="1326"/>
      <c r="F15" s="2676" t="s">
        <v>2772</v>
      </c>
      <c r="G15" s="2620" t="s">
        <v>4287</v>
      </c>
      <c r="N15" s="3142" t="s">
        <v>4083</v>
      </c>
      <c r="O15" s="3143"/>
      <c r="P15" s="3144"/>
      <c r="Z15" s="1773">
        <v>15</v>
      </c>
    </row>
    <row r="16" spans="1:26" s="289" customFormat="1" ht="12.75" customHeight="1">
      <c r="A16" s="1711"/>
      <c r="B16" s="289" t="s">
        <v>4280</v>
      </c>
      <c r="D16" s="299"/>
      <c r="F16" s="3178" t="s">
        <v>931</v>
      </c>
      <c r="G16" s="3179"/>
      <c r="H16" s="3179"/>
      <c r="I16" s="3180"/>
      <c r="J16" s="289" t="s">
        <v>4118</v>
      </c>
      <c r="L16" s="3176" t="s">
        <v>931</v>
      </c>
      <c r="M16" s="3177"/>
      <c r="N16" s="289" t="s">
        <v>4117</v>
      </c>
      <c r="P16" s="2677"/>
      <c r="Z16" s="1773">
        <v>16</v>
      </c>
    </row>
    <row r="17" spans="1:26" s="289" customFormat="1" ht="12.75" customHeight="1">
      <c r="A17" s="1711"/>
      <c r="B17" s="289" t="s">
        <v>3401</v>
      </c>
      <c r="F17" s="2676" t="s">
        <v>2772</v>
      </c>
      <c r="G17" s="289" t="s">
        <v>4075</v>
      </c>
      <c r="H17" s="2629"/>
      <c r="I17" s="170"/>
      <c r="J17" s="475"/>
      <c r="N17" s="3182" t="s">
        <v>2675</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3435</v>
      </c>
      <c r="F21" s="3160" t="s">
        <v>6892</v>
      </c>
      <c r="G21" s="3161"/>
      <c r="H21" s="3162"/>
      <c r="I21" s="1246" t="s">
        <v>1716</v>
      </c>
      <c r="J21" s="3160" t="s">
        <v>6849</v>
      </c>
      <c r="K21" s="3161"/>
      <c r="L21" s="3162"/>
      <c r="M21" s="321" t="s">
        <v>1890</v>
      </c>
      <c r="N21" s="3176" t="s">
        <v>6854</v>
      </c>
      <c r="O21" s="3174"/>
      <c r="P21" s="3177"/>
      <c r="Z21" s="1773">
        <v>21</v>
      </c>
    </row>
    <row r="22" spans="1:26" s="289" customFormat="1" ht="13.35" customHeight="1">
      <c r="B22" s="2618" t="s">
        <v>1891</v>
      </c>
      <c r="F22" s="3147" t="s">
        <v>6852</v>
      </c>
      <c r="G22" s="3148"/>
      <c r="H22" s="3148"/>
      <c r="I22" s="3149"/>
      <c r="J22" s="3148"/>
      <c r="K22" s="3150"/>
      <c r="L22" s="3151"/>
      <c r="M22" s="3155" t="s">
        <v>3434</v>
      </c>
      <c r="N22" s="3156"/>
      <c r="O22" s="3156"/>
      <c r="P22" s="3156"/>
      <c r="Z22" s="1773">
        <v>22</v>
      </c>
    </row>
    <row r="23" spans="1:26" s="289" customFormat="1" ht="13.35" customHeight="1">
      <c r="B23" s="2618" t="s">
        <v>588</v>
      </c>
      <c r="F23" s="3147" t="s">
        <v>1159</v>
      </c>
      <c r="G23" s="3148"/>
      <c r="H23" s="3154"/>
      <c r="I23" s="2618" t="s">
        <v>1717</v>
      </c>
      <c r="J23" s="2678" t="s">
        <v>815</v>
      </c>
      <c r="M23" s="3155"/>
      <c r="N23" s="3155"/>
      <c r="O23" s="3155"/>
      <c r="P23" s="3155"/>
      <c r="Z23" s="1773">
        <v>23</v>
      </c>
    </row>
    <row r="24" spans="1:26" s="289" customFormat="1" ht="13.35" customHeight="1">
      <c r="B24" s="2620" t="s">
        <v>2128</v>
      </c>
      <c r="F24" s="3157">
        <v>303395704</v>
      </c>
      <c r="G24" s="3158"/>
      <c r="H24" s="3159"/>
      <c r="I24" s="2618" t="s">
        <v>1643</v>
      </c>
      <c r="J24" s="3181">
        <v>7709842100</v>
      </c>
      <c r="K24" s="3153"/>
      <c r="L24" s="2635" t="s">
        <v>1642</v>
      </c>
      <c r="M24" s="2679">
        <v>107</v>
      </c>
      <c r="N24" s="2620" t="s">
        <v>1644</v>
      </c>
      <c r="O24" s="3152">
        <v>7706350157</v>
      </c>
      <c r="P24" s="3153"/>
      <c r="Z24" s="1773">
        <v>24</v>
      </c>
    </row>
    <row r="25" spans="1:26" s="289" customFormat="1" ht="13.35" customHeight="1">
      <c r="B25" s="2620" t="s">
        <v>1894</v>
      </c>
      <c r="F25" s="3173" t="s">
        <v>6851</v>
      </c>
      <c r="G25" s="3149"/>
      <c r="H25" s="3149"/>
      <c r="I25" s="3174"/>
      <c r="J25" s="3149"/>
      <c r="K25" s="3175"/>
      <c r="N25" s="2620" t="s">
        <v>1889</v>
      </c>
      <c r="O25" s="3167">
        <v>4042340004</v>
      </c>
      <c r="P25" s="3168"/>
      <c r="Z25" s="1773">
        <v>25</v>
      </c>
    </row>
    <row r="26" spans="1:26" s="289" customFormat="1" ht="13.5" customHeight="1">
      <c r="A26" s="1711"/>
      <c r="B26" s="291" t="s">
        <v>3824</v>
      </c>
      <c r="C26" s="297"/>
      <c r="D26" s="2627"/>
      <c r="E26" s="2627"/>
      <c r="F26" s="2627"/>
      <c r="H26" s="2629"/>
      <c r="I26" s="2627"/>
      <c r="J26" s="297"/>
      <c r="K26" s="2627"/>
      <c r="P26" s="298"/>
      <c r="Z26" s="1773">
        <v>26</v>
      </c>
    </row>
    <row r="27" spans="1:26" s="289" customFormat="1" ht="13.35" customHeight="1">
      <c r="B27" s="289" t="s">
        <v>3435</v>
      </c>
      <c r="F27" s="3160" t="s">
        <v>6862</v>
      </c>
      <c r="G27" s="3161"/>
      <c r="H27" s="3162"/>
      <c r="I27" s="1246" t="s">
        <v>1716</v>
      </c>
      <c r="J27" s="3160" t="s">
        <v>6901</v>
      </c>
      <c r="K27" s="3161"/>
      <c r="L27" s="3162"/>
      <c r="M27" s="321" t="s">
        <v>1890</v>
      </c>
      <c r="N27" s="3176" t="s">
        <v>6869</v>
      </c>
      <c r="O27" s="3174"/>
      <c r="P27" s="3177"/>
      <c r="Z27" s="1773">
        <v>27</v>
      </c>
    </row>
    <row r="28" spans="1:26" s="289" customFormat="1" ht="13.35" customHeight="1">
      <c r="B28" s="2618" t="s">
        <v>1891</v>
      </c>
      <c r="F28" s="3147" t="s">
        <v>6852</v>
      </c>
      <c r="G28" s="3148"/>
      <c r="H28" s="3148"/>
      <c r="I28" s="3149"/>
      <c r="J28" s="3148"/>
      <c r="K28" s="3150"/>
      <c r="L28" s="3151"/>
      <c r="M28" s="3155" t="s">
        <v>3434</v>
      </c>
      <c r="N28" s="3156"/>
      <c r="O28" s="3156"/>
      <c r="P28" s="3156"/>
      <c r="Z28" s="1773">
        <v>28</v>
      </c>
    </row>
    <row r="29" spans="1:26" s="289" customFormat="1" ht="13.35" customHeight="1">
      <c r="B29" s="2618" t="s">
        <v>588</v>
      </c>
      <c r="F29" s="3147" t="s">
        <v>1159</v>
      </c>
      <c r="G29" s="3148"/>
      <c r="H29" s="3154"/>
      <c r="I29" s="2618" t="s">
        <v>1717</v>
      </c>
      <c r="J29" s="2678" t="s">
        <v>815</v>
      </c>
      <c r="M29" s="3155"/>
      <c r="N29" s="3155"/>
      <c r="O29" s="3155"/>
      <c r="P29" s="3155"/>
      <c r="Z29" s="1773">
        <v>29</v>
      </c>
    </row>
    <row r="30" spans="1:26" s="289" customFormat="1" ht="13.35" customHeight="1">
      <c r="B30" s="2620" t="s">
        <v>2128</v>
      </c>
      <c r="F30" s="3157">
        <v>303395704</v>
      </c>
      <c r="G30" s="3158"/>
      <c r="H30" s="3159"/>
      <c r="I30" s="2618" t="s">
        <v>1643</v>
      </c>
      <c r="J30" s="3181">
        <v>2295480296</v>
      </c>
      <c r="K30" s="3153"/>
      <c r="L30" s="2635" t="s">
        <v>1642</v>
      </c>
      <c r="M30" s="2679"/>
      <c r="N30" s="2620" t="s">
        <v>1644</v>
      </c>
      <c r="O30" s="3152">
        <v>2295480296</v>
      </c>
      <c r="P30" s="3153"/>
      <c r="Z30" s="1773">
        <v>30</v>
      </c>
    </row>
    <row r="31" spans="1:26" s="289" customFormat="1" ht="13.35" customHeight="1">
      <c r="B31" s="2620" t="s">
        <v>1894</v>
      </c>
      <c r="F31" s="3173" t="s">
        <v>6902</v>
      </c>
      <c r="G31" s="3149"/>
      <c r="H31" s="3149"/>
      <c r="I31" s="3174"/>
      <c r="J31" s="3149"/>
      <c r="K31" s="3175"/>
      <c r="N31" s="2620" t="s">
        <v>1889</v>
      </c>
      <c r="O31" s="3167">
        <v>2295480296</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6903</v>
      </c>
      <c r="G35" s="3190"/>
      <c r="H35" s="3190"/>
      <c r="I35" s="3190"/>
      <c r="J35" s="3190"/>
      <c r="K35" s="3191"/>
      <c r="L35" s="2620" t="s">
        <v>2097</v>
      </c>
      <c r="O35" s="3160" t="s">
        <v>2772</v>
      </c>
      <c r="P35" s="3162"/>
      <c r="Z35" s="1773">
        <v>35</v>
      </c>
    </row>
    <row r="36" spans="1:26" s="289" customFormat="1" ht="13.35" customHeight="1">
      <c r="A36" s="300"/>
      <c r="B36" s="289" t="s">
        <v>2548</v>
      </c>
      <c r="D36" s="301"/>
      <c r="F36" s="3169" t="s">
        <v>6904</v>
      </c>
      <c r="G36" s="3170"/>
      <c r="H36" s="3170"/>
      <c r="I36" s="3170"/>
      <c r="J36" s="3170"/>
      <c r="K36" s="3171"/>
      <c r="L36" s="289" t="s">
        <v>3321</v>
      </c>
      <c r="O36" s="3172" t="s">
        <v>931</v>
      </c>
      <c r="P36" s="3154"/>
      <c r="Z36" s="1773">
        <v>36</v>
      </c>
    </row>
    <row r="37" spans="1:26" s="289" customFormat="1" ht="13.35" customHeight="1">
      <c r="A37" s="300"/>
      <c r="B37" s="289" t="s">
        <v>2572</v>
      </c>
      <c r="D37" s="301"/>
      <c r="F37" s="3172"/>
      <c r="G37" s="3148"/>
      <c r="H37" s="3148"/>
      <c r="I37" s="3150"/>
      <c r="J37" s="3148"/>
      <c r="K37" s="3154"/>
      <c r="L37" s="2620" t="s">
        <v>1958</v>
      </c>
      <c r="N37" s="2679" t="s">
        <v>2772</v>
      </c>
      <c r="O37" s="2629" t="s">
        <v>3320</v>
      </c>
      <c r="P37" s="2680">
        <v>1</v>
      </c>
      <c r="Z37" s="1773">
        <v>37</v>
      </c>
    </row>
    <row r="38" spans="1:26" s="289" customFormat="1" ht="13.35" customHeight="1">
      <c r="A38" s="300"/>
      <c r="B38" s="289" t="s">
        <v>3362</v>
      </c>
      <c r="D38" s="301"/>
      <c r="F38" s="289" t="s">
        <v>3347</v>
      </c>
      <c r="G38" s="3185">
        <v>33.678429000000001</v>
      </c>
      <c r="H38" s="3186"/>
      <c r="I38" s="2635" t="s">
        <v>3348</v>
      </c>
      <c r="J38" s="3185">
        <v>-84.438682999999997</v>
      </c>
      <c r="K38" s="3186"/>
      <c r="L38" s="2620" t="s">
        <v>2180</v>
      </c>
      <c r="O38" s="3192">
        <v>4.4720000000000004</v>
      </c>
      <c r="P38" s="3193"/>
      <c r="Z38" s="1773">
        <v>38</v>
      </c>
    </row>
    <row r="39" spans="1:26" s="289" customFormat="1" ht="13.35" customHeight="1">
      <c r="A39" s="1711"/>
      <c r="B39" s="289" t="s">
        <v>588</v>
      </c>
      <c r="F39" s="3160" t="s">
        <v>1102</v>
      </c>
      <c r="G39" s="3203"/>
      <c r="H39" s="3204"/>
      <c r="I39" s="305" t="s">
        <v>2549</v>
      </c>
      <c r="J39" s="3157">
        <v>303446965</v>
      </c>
      <c r="K39" s="3159"/>
      <c r="L39" s="356" t="str">
        <f>IF(AND(NOT(F35=""),NOT(F39="Select from list"),J39=""),"Enter Zip!","")</f>
        <v/>
      </c>
      <c r="M39" s="303" t="s">
        <v>2693</v>
      </c>
      <c r="O39" s="3187" t="s">
        <v>6905</v>
      </c>
      <c r="P39" s="3188"/>
      <c r="Z39" s="1773">
        <v>39</v>
      </c>
    </row>
    <row r="40" spans="1:26" s="289" customFormat="1" ht="13.35" customHeight="1">
      <c r="A40" s="1711"/>
      <c r="B40" s="2627" t="s">
        <v>4097</v>
      </c>
      <c r="D40" s="2627"/>
      <c r="F40" s="3172" t="s">
        <v>6906</v>
      </c>
      <c r="G40" s="3150"/>
      <c r="H40" s="3151"/>
      <c r="I40" s="302" t="s">
        <v>589</v>
      </c>
      <c r="J40" s="3197" t="str">
        <f>IF(F39="","",VLOOKUP(F39,'DCA Underwriting Assumptions'!$T$174:$U$803,2,FALSE))</f>
        <v>Fulton</v>
      </c>
      <c r="K40" s="3198"/>
      <c r="M40" s="2620" t="s">
        <v>431</v>
      </c>
      <c r="N40" s="2681" t="s">
        <v>2769</v>
      </c>
      <c r="O40" s="2629" t="s">
        <v>432</v>
      </c>
      <c r="P40" s="2677" t="s">
        <v>2772</v>
      </c>
      <c r="Z40" s="1773">
        <v>40</v>
      </c>
    </row>
    <row r="41" spans="1:26" s="289" customFormat="1" ht="13.35" customHeight="1">
      <c r="A41" s="1711"/>
      <c r="B41" s="291"/>
      <c r="C41" s="289" t="s">
        <v>1494</v>
      </c>
      <c r="F41" s="2682" t="s">
        <v>2772</v>
      </c>
      <c r="G41" s="2623"/>
      <c r="H41" s="2624"/>
      <c r="I41" s="1617"/>
      <c r="J41" s="2635" t="s">
        <v>2610</v>
      </c>
      <c r="K41" s="1362" t="str">
        <f>IF(OR(F41="Yes",I41="Yes"),"Rural","Urban")</f>
        <v>Urban</v>
      </c>
      <c r="M41" s="2620" t="s">
        <v>2487</v>
      </c>
      <c r="N41" s="1363" t="str">
        <f>VLOOKUP($J$40,'DCA Underwriting Assumptions'!$G$174:$J$333,4)</f>
        <v>MSA</v>
      </c>
      <c r="O41" s="3199" t="str">
        <f>IF($F$39="","",VLOOKUP($J$40,'DCA Underwriting Assumptions'!$G$174:$L$333,3,FALSE))</f>
        <v>Atlanta-Sandy Springs-Marietta</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1" t="s">
        <v>2592</v>
      </c>
      <c r="G43" s="3201"/>
      <c r="H43" s="3202" t="s">
        <v>706</v>
      </c>
      <c r="I43" s="3202"/>
      <c r="J43" s="3202" t="s">
        <v>707</v>
      </c>
      <c r="K43" s="3202"/>
      <c r="L43" s="468" t="s">
        <v>4016</v>
      </c>
      <c r="Z43" s="1773">
        <v>43</v>
      </c>
    </row>
    <row r="44" spans="1:26" s="289" customFormat="1" ht="13.35" customHeight="1">
      <c r="A44" s="1711"/>
      <c r="B44" s="289" t="s">
        <v>2591</v>
      </c>
      <c r="D44" s="291"/>
      <c r="F44" s="3194">
        <v>5</v>
      </c>
      <c r="G44" s="3195"/>
      <c r="H44" s="3194">
        <v>36</v>
      </c>
      <c r="I44" s="3195"/>
      <c r="J44" s="3194">
        <v>59</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2590</v>
      </c>
      <c r="N45" s="3207" t="s">
        <v>2589</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6907</v>
      </c>
      <c r="G47" s="3216"/>
      <c r="H47" s="3216"/>
      <c r="I47" s="3217"/>
      <c r="J47" s="3216"/>
      <c r="K47" s="3218"/>
      <c r="L47" s="771" t="s">
        <v>2553</v>
      </c>
      <c r="M47" s="3176" t="s">
        <v>6910</v>
      </c>
      <c r="N47" s="3174"/>
      <c r="O47" s="3174"/>
      <c r="P47" s="3177"/>
      <c r="Z47" s="1773">
        <v>47</v>
      </c>
    </row>
    <row r="48" spans="1:26" s="289" customFormat="1" ht="13.35" customHeight="1">
      <c r="A48" s="1711"/>
      <c r="B48" s="289" t="s">
        <v>608</v>
      </c>
      <c r="F48" s="3219" t="s">
        <v>6908</v>
      </c>
      <c r="G48" s="3220"/>
      <c r="H48" s="3221"/>
      <c r="I48" s="916" t="s">
        <v>1890</v>
      </c>
      <c r="J48" s="3169" t="s">
        <v>6909</v>
      </c>
      <c r="K48" s="3171"/>
      <c r="L48" s="771"/>
      <c r="Z48" s="1773">
        <v>48</v>
      </c>
    </row>
    <row r="49" spans="1:26" s="289" customFormat="1" ht="13.35" customHeight="1">
      <c r="A49" s="1711"/>
      <c r="B49" s="289" t="s">
        <v>1891</v>
      </c>
      <c r="F49" s="3222" t="s">
        <v>6911</v>
      </c>
      <c r="G49" s="3223"/>
      <c r="H49" s="3224"/>
      <c r="I49" s="3216"/>
      <c r="J49" s="3223"/>
      <c r="K49" s="3225"/>
      <c r="L49" s="2619" t="s">
        <v>588</v>
      </c>
      <c r="M49" s="3226" t="s">
        <v>1102</v>
      </c>
      <c r="N49" s="3227"/>
      <c r="O49" s="3227"/>
      <c r="P49" s="3228"/>
      <c r="Z49" s="1773">
        <v>49</v>
      </c>
    </row>
    <row r="50" spans="1:26" s="289" customFormat="1" ht="13.35" customHeight="1">
      <c r="A50" s="1711"/>
      <c r="B50" s="2620" t="s">
        <v>2128</v>
      </c>
      <c r="F50" s="3230">
        <v>303443207</v>
      </c>
      <c r="G50" s="3231"/>
      <c r="H50" s="2635" t="s">
        <v>1892</v>
      </c>
      <c r="I50" s="3232">
        <v>4042707091</v>
      </c>
      <c r="J50" s="3233"/>
      <c r="K50" s="3234"/>
      <c r="L50" s="2618" t="s">
        <v>1718</v>
      </c>
      <c r="M50" s="3235" t="s">
        <v>6968</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89</v>
      </c>
      <c r="K55" s="2618" t="s">
        <v>3313</v>
      </c>
      <c r="L55" s="289"/>
      <c r="M55" s="804" t="s">
        <v>3312</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2769</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3257</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89</v>
      </c>
      <c r="I62" s="575">
        <f>'Part VI-Revenues &amp; Expenses'!$P$100</f>
        <v>0</v>
      </c>
      <c r="J62" s="1711"/>
      <c r="K62" s="297" t="s">
        <v>2600</v>
      </c>
      <c r="M62" s="2627"/>
      <c r="N62" s="2627"/>
      <c r="O62" s="2627"/>
      <c r="P62" s="750">
        <f>'Part VI-Revenues &amp; Expenses'!P164</f>
        <v>82950</v>
      </c>
      <c r="Z62" s="1773">
        <v>62</v>
      </c>
    </row>
    <row r="63" spans="1:26" s="289" customFormat="1" ht="13.35" customHeight="1">
      <c r="A63" s="1711"/>
      <c r="C63" s="297" t="s">
        <v>242</v>
      </c>
      <c r="D63" s="2627"/>
      <c r="E63" s="2627"/>
      <c r="H63" s="1747">
        <f>'Part VI-Revenues &amp; Expenses'!$P$64</f>
        <v>0</v>
      </c>
      <c r="J63" s="1711"/>
      <c r="K63" s="297" t="s">
        <v>2601</v>
      </c>
      <c r="M63" s="2627"/>
      <c r="N63" s="2627"/>
      <c r="O63" s="2627"/>
      <c r="P63" s="1747">
        <f>'Part VI-Revenues &amp; Expenses'!$P$165</f>
        <v>0</v>
      </c>
      <c r="Z63" s="1773">
        <v>63</v>
      </c>
    </row>
    <row r="64" spans="1:26" s="289" customFormat="1" ht="13.35" customHeight="1">
      <c r="A64" s="1711"/>
      <c r="C64" s="297" t="s">
        <v>2297</v>
      </c>
      <c r="D64" s="2627"/>
      <c r="E64" s="2627"/>
      <c r="H64" s="1747">
        <f>H62+H63</f>
        <v>89</v>
      </c>
      <c r="J64" s="1711"/>
      <c r="K64" s="297" t="s">
        <v>2602</v>
      </c>
      <c r="M64" s="2627"/>
      <c r="N64" s="2627"/>
      <c r="O64" s="2627"/>
      <c r="P64" s="1747">
        <f>P62+P63</f>
        <v>82950</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89</v>
      </c>
      <c r="J66" s="2627"/>
      <c r="K66" s="297" t="s">
        <v>1369</v>
      </c>
      <c r="M66" s="2627"/>
      <c r="N66" s="2627"/>
      <c r="O66" s="2627"/>
      <c r="P66" s="311">
        <f>+P64+P65</f>
        <v>82950</v>
      </c>
      <c r="Z66" s="1773">
        <v>66</v>
      </c>
    </row>
    <row r="67" spans="1:26" s="289" customFormat="1" ht="3" customHeight="1">
      <c r="A67" s="1711"/>
      <c r="I67" s="2629"/>
      <c r="L67" s="2629"/>
      <c r="M67" s="2629"/>
      <c r="N67" s="2627"/>
      <c r="P67" s="298"/>
      <c r="Z67" s="1773">
        <v>67</v>
      </c>
    </row>
    <row r="68" spans="1:26" s="289" customFormat="1" ht="11.25" customHeight="1">
      <c r="A68" s="1711"/>
      <c r="H68" s="2635" t="s">
        <v>3441</v>
      </c>
      <c r="I68" s="2635" t="s">
        <v>2543</v>
      </c>
      <c r="L68" s="2629"/>
      <c r="M68" s="2629"/>
      <c r="N68" s="2627"/>
      <c r="P68" s="298"/>
      <c r="Z68" s="1773">
        <v>68</v>
      </c>
    </row>
    <row r="69" spans="1:26" s="289" customFormat="1" ht="13.35" customHeight="1">
      <c r="A69" s="1711"/>
      <c r="B69" s="1711" t="s">
        <v>1656</v>
      </c>
      <c r="C69" s="299" t="s">
        <v>2194</v>
      </c>
      <c r="D69" s="312" t="s">
        <v>1906</v>
      </c>
      <c r="G69" s="2627"/>
      <c r="H69" s="2685">
        <v>1</v>
      </c>
      <c r="I69" s="2685">
        <v>1</v>
      </c>
      <c r="K69" s="297" t="s">
        <v>4070</v>
      </c>
      <c r="O69" s="2627"/>
      <c r="P69" s="2686">
        <v>17700</v>
      </c>
      <c r="Z69" s="1773">
        <v>69</v>
      </c>
    </row>
    <row r="70" spans="1:26" s="289" customFormat="1" ht="13.35" customHeight="1">
      <c r="A70" s="1711"/>
      <c r="B70" s="1711"/>
      <c r="D70" s="2621" t="s">
        <v>1907</v>
      </c>
      <c r="H70" s="2687">
        <v>0</v>
      </c>
      <c r="I70" s="2687">
        <v>0</v>
      </c>
      <c r="K70" s="297" t="s">
        <v>241</v>
      </c>
      <c r="O70" s="2627"/>
      <c r="P70" s="311">
        <f>+P66+P69</f>
        <v>100650</v>
      </c>
      <c r="Z70" s="1773">
        <v>70</v>
      </c>
    </row>
    <row r="71" spans="1:26" s="289" customFormat="1" ht="13.35" customHeight="1">
      <c r="A71" s="1711"/>
      <c r="B71" s="1711"/>
      <c r="D71" s="2621" t="s">
        <v>1908</v>
      </c>
      <c r="H71" s="311">
        <f>+H69+H70</f>
        <v>1</v>
      </c>
      <c r="I71" s="311">
        <f>+I69+I70</f>
        <v>1</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146</v>
      </c>
      <c r="K73" s="3229" t="s">
        <v>6776</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6601</v>
      </c>
      <c r="D77" s="1298"/>
      <c r="E77" s="1739" t="s">
        <v>6602</v>
      </c>
      <c r="F77" s="2627"/>
      <c r="G77" s="2629"/>
      <c r="H77" s="3238" t="s">
        <v>2698</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6603</v>
      </c>
      <c r="K79" s="3213" t="s">
        <v>4025</v>
      </c>
      <c r="L79" s="314" t="s">
        <v>2698</v>
      </c>
      <c r="M79" s="2688">
        <v>89</v>
      </c>
      <c r="N79" s="314" t="s">
        <v>2699</v>
      </c>
      <c r="O79" s="2688"/>
      <c r="P79" s="2618" t="s">
        <v>4024</v>
      </c>
      <c r="Z79" s="1773">
        <v>79</v>
      </c>
    </row>
    <row r="80" spans="1:26" s="289" customFormat="1">
      <c r="A80" s="1711"/>
      <c r="B80" s="1711"/>
      <c r="D80" s="2620"/>
      <c r="E80" s="1298"/>
      <c r="J80" s="1296"/>
      <c r="K80" s="3213"/>
      <c r="L80" s="301" t="s">
        <v>2700</v>
      </c>
      <c r="M80" s="2687"/>
      <c r="N80" s="301" t="s">
        <v>3431</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6604</v>
      </c>
      <c r="D82" s="1298"/>
      <c r="E82" s="1739" t="s">
        <v>6605</v>
      </c>
      <c r="F82" s="2627"/>
      <c r="G82" s="2629"/>
      <c r="H82" s="3241" t="s">
        <v>6912</v>
      </c>
      <c r="I82" s="3242"/>
      <c r="J82" s="3243"/>
      <c r="K82" s="3214" t="s">
        <v>1692</v>
      </c>
      <c r="L82" s="3214"/>
      <c r="M82" s="3176" t="s">
        <v>6913</v>
      </c>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4025</v>
      </c>
      <c r="L84" s="314" t="s">
        <v>2698</v>
      </c>
      <c r="M84" s="2688"/>
      <c r="N84" s="314" t="s">
        <v>2699</v>
      </c>
      <c r="O84" s="2688"/>
      <c r="P84" s="2618" t="s">
        <v>4024</v>
      </c>
      <c r="Z84" s="1773">
        <v>84</v>
      </c>
    </row>
    <row r="85" spans="1:26" s="289" customFormat="1">
      <c r="A85" s="1711"/>
      <c r="B85" s="1711"/>
      <c r="D85" s="2620"/>
      <c r="E85" s="1298"/>
      <c r="J85" s="1296"/>
      <c r="K85" s="3213"/>
      <c r="L85" s="301" t="s">
        <v>2700</v>
      </c>
      <c r="M85" s="2687"/>
      <c r="N85" s="301" t="s">
        <v>3431</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5</v>
      </c>
      <c r="K87" s="3214" t="s">
        <v>495</v>
      </c>
      <c r="L87" s="3214"/>
      <c r="N87" s="1748">
        <f>IF('Part VI-Revenues &amp; Expenses'!$P$67=0,0,H87/'Part VI-Revenues &amp; Expenses'!$P$67)</f>
        <v>5.6179775280898875E-2</v>
      </c>
      <c r="O87" s="301" t="s">
        <v>3330</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0.4</v>
      </c>
      <c r="O88" s="301" t="s">
        <v>3330</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2</v>
      </c>
      <c r="K90" s="3214" t="s">
        <v>495</v>
      </c>
      <c r="L90" s="3214"/>
      <c r="N90" s="1364">
        <f>IF('Part VI-Revenues &amp; Expenses'!$P$67=0,0,H90/'Part VI-Revenues &amp; Expenses'!$P$67)</f>
        <v>2.247191011235955E-2</v>
      </c>
      <c r="O90" s="301" t="s">
        <v>3330</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3990</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8" t="s">
        <v>3976</v>
      </c>
      <c r="L94" s="3239"/>
      <c r="M94" s="3240"/>
      <c r="N94" s="2627"/>
      <c r="Z94" s="1773">
        <v>94</v>
      </c>
    </row>
    <row r="95" spans="1:26" s="289" customFormat="1" ht="1.5" customHeight="1">
      <c r="A95" s="1711"/>
      <c r="B95" s="1711"/>
      <c r="D95" s="2621"/>
      <c r="F95" s="2621"/>
      <c r="G95" s="2621"/>
      <c r="H95" s="454" t="s">
        <v>4096</v>
      </c>
      <c r="L95" s="2629"/>
      <c r="M95" s="2629"/>
      <c r="Z95" s="1773">
        <v>95</v>
      </c>
    </row>
    <row r="96" spans="1:26" s="289" customFormat="1" ht="13.35" customHeight="1">
      <c r="B96" s="1711" t="s">
        <v>1895</v>
      </c>
      <c r="C96" s="291" t="s">
        <v>1473</v>
      </c>
      <c r="K96" s="2618" t="s">
        <v>4011</v>
      </c>
      <c r="N96" s="316"/>
      <c r="P96" s="2690" t="s">
        <v>6949</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21" t="s">
        <v>3446</v>
      </c>
      <c r="H101" s="2693" t="s">
        <v>2772</v>
      </c>
      <c r="K101" s="2620" t="s">
        <v>6314</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6313</v>
      </c>
      <c r="D105" s="2621"/>
      <c r="H105" s="3238" t="s">
        <v>3141</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t="s">
        <v>931</v>
      </c>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2128</v>
      </c>
      <c r="K111" s="3261"/>
      <c r="L111" s="3262"/>
      <c r="M111" s="267" t="s">
        <v>3306</v>
      </c>
      <c r="N111" s="267"/>
      <c r="O111" s="3263"/>
      <c r="P111" s="3264"/>
      <c r="Z111" s="1773">
        <v>111</v>
      </c>
    </row>
    <row r="112" spans="1:26" s="289" customFormat="1" ht="13.35" customHeight="1">
      <c r="C112" s="289" t="s">
        <v>2099</v>
      </c>
      <c r="E112" s="3169"/>
      <c r="F112" s="3249"/>
      <c r="G112" s="3250"/>
      <c r="H112" s="846" t="s">
        <v>1890</v>
      </c>
      <c r="I112" s="3251"/>
      <c r="J112" s="3252"/>
      <c r="K112" s="3253"/>
      <c r="L112" s="2640" t="s">
        <v>1894</v>
      </c>
      <c r="M112" s="3160"/>
      <c r="N112" s="3254"/>
      <c r="O112" s="3255"/>
      <c r="P112" s="3256"/>
      <c r="Z112" s="1773">
        <v>112</v>
      </c>
    </row>
    <row r="113" spans="1:26" s="289" customFormat="1" ht="13.35" customHeight="1">
      <c r="C113" s="2618" t="s">
        <v>2098</v>
      </c>
      <c r="E113" s="3167"/>
      <c r="F113" s="3257"/>
      <c r="G113" s="3168"/>
      <c r="H113" s="846" t="s">
        <v>1719</v>
      </c>
      <c r="I113" s="3167"/>
      <c r="J113" s="3258"/>
      <c r="K113" s="2635" t="s">
        <v>2553</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1603000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4" t="s">
        <v>6849</v>
      </c>
      <c r="D125" s="3245"/>
      <c r="E125" s="3245"/>
      <c r="F125" s="3246" t="s">
        <v>6903</v>
      </c>
      <c r="G125" s="3247"/>
      <c r="H125" s="3248"/>
      <c r="I125" s="2697"/>
      <c r="J125" s="3244">
        <v>7</v>
      </c>
      <c r="K125" s="3245"/>
      <c r="L125" s="3245"/>
      <c r="M125" s="3246"/>
      <c r="N125" s="3247"/>
      <c r="O125" s="3248"/>
      <c r="P125" s="2697"/>
      <c r="Z125" s="1773">
        <v>125</v>
      </c>
    </row>
    <row r="126" spans="1:26" s="289" customFormat="1" ht="13.35" customHeight="1">
      <c r="A126" s="1711"/>
      <c r="B126" s="1711"/>
      <c r="C126" s="3265" t="s">
        <v>6914</v>
      </c>
      <c r="D126" s="3266"/>
      <c r="E126" s="3266"/>
      <c r="F126" s="3267" t="s">
        <v>6903</v>
      </c>
      <c r="G126" s="3268"/>
      <c r="H126" s="3269"/>
      <c r="I126" s="2698"/>
      <c r="J126" s="3265">
        <v>8</v>
      </c>
      <c r="K126" s="3266"/>
      <c r="L126" s="3266"/>
      <c r="M126" s="3267"/>
      <c r="N126" s="3268"/>
      <c r="O126" s="3269"/>
      <c r="P126" s="2698"/>
      <c r="Z126" s="1773">
        <v>126</v>
      </c>
    </row>
    <row r="127" spans="1:26" s="289" customFormat="1" ht="13.35" customHeight="1">
      <c r="A127" s="1711"/>
      <c r="B127" s="1711"/>
      <c r="C127" s="3265" t="s">
        <v>6901</v>
      </c>
      <c r="D127" s="3266"/>
      <c r="E127" s="3266"/>
      <c r="F127" s="3267" t="s">
        <v>6903</v>
      </c>
      <c r="G127" s="3268"/>
      <c r="H127" s="3269"/>
      <c r="I127" s="2698"/>
      <c r="J127" s="3265">
        <v>9</v>
      </c>
      <c r="K127" s="3266"/>
      <c r="L127" s="3266"/>
      <c r="M127" s="3267"/>
      <c r="N127" s="3268"/>
      <c r="O127" s="3269"/>
      <c r="P127" s="2698"/>
      <c r="Z127" s="1773">
        <v>127</v>
      </c>
    </row>
    <row r="128" spans="1:26" s="289" customFormat="1" ht="13.35" customHeight="1">
      <c r="A128" s="1711"/>
      <c r="B128" s="1711"/>
      <c r="C128" s="3265" t="s">
        <v>6849</v>
      </c>
      <c r="D128" s="3266"/>
      <c r="E128" s="3266"/>
      <c r="F128" s="3267" t="s">
        <v>6915</v>
      </c>
      <c r="G128" s="3268"/>
      <c r="H128" s="3269"/>
      <c r="I128" s="2698"/>
      <c r="J128" s="3265">
        <v>10</v>
      </c>
      <c r="K128" s="3266"/>
      <c r="L128" s="3266"/>
      <c r="M128" s="3267"/>
      <c r="N128" s="3268"/>
      <c r="O128" s="3269"/>
      <c r="P128" s="2698"/>
      <c r="Z128" s="1773">
        <v>128</v>
      </c>
    </row>
    <row r="129" spans="1:26" s="289" customFormat="1" ht="13.35" customHeight="1">
      <c r="A129" s="1711"/>
      <c r="B129" s="1711"/>
      <c r="C129" s="3265" t="s">
        <v>6914</v>
      </c>
      <c r="D129" s="3266"/>
      <c r="E129" s="3266"/>
      <c r="F129" s="3267" t="s">
        <v>6915</v>
      </c>
      <c r="G129" s="3268"/>
      <c r="H129" s="3269"/>
      <c r="I129" s="2698"/>
      <c r="J129" s="3265">
        <v>11</v>
      </c>
      <c r="K129" s="3266"/>
      <c r="L129" s="3266"/>
      <c r="M129" s="3267"/>
      <c r="N129" s="3268"/>
      <c r="O129" s="3269"/>
      <c r="P129" s="2698"/>
      <c r="Z129" s="1773">
        <v>129</v>
      </c>
    </row>
    <row r="130" spans="1:26" s="289" customFormat="1" ht="13.35" customHeight="1">
      <c r="A130" s="1711"/>
      <c r="B130" s="1711"/>
      <c r="C130" s="3273" t="s">
        <v>6901</v>
      </c>
      <c r="D130" s="3274"/>
      <c r="E130" s="3274"/>
      <c r="F130" s="3270" t="s">
        <v>6915</v>
      </c>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7" t="s">
        <v>1761</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4" t="s">
        <v>931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4028</v>
      </c>
      <c r="D142" s="299"/>
      <c r="E142" s="299"/>
      <c r="F142" s="299"/>
      <c r="I142" s="2700" t="s">
        <v>2772</v>
      </c>
      <c r="K142" s="289" t="s">
        <v>6479</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6398</v>
      </c>
      <c r="I144" s="2691"/>
      <c r="K144" s="289" t="s">
        <v>6480</v>
      </c>
      <c r="M144" s="2629"/>
      <c r="N144" s="2627"/>
      <c r="O144" s="3275"/>
      <c r="P144" s="3276"/>
      <c r="Z144" s="1773">
        <v>144</v>
      </c>
    </row>
    <row r="145" spans="1:26" s="289" customFormat="1" ht="12" customHeight="1">
      <c r="A145" s="1711"/>
      <c r="B145" s="1711"/>
      <c r="C145" s="2621" t="s">
        <v>2309</v>
      </c>
      <c r="D145" s="2621"/>
      <c r="E145" s="2621"/>
      <c r="F145" s="2629"/>
      <c r="I145" s="2701"/>
      <c r="K145" s="289" t="s">
        <v>6482</v>
      </c>
      <c r="N145" s="2627"/>
      <c r="O145" s="3277"/>
      <c r="P145" s="3278"/>
      <c r="Z145" s="1773">
        <v>145</v>
      </c>
    </row>
    <row r="146" spans="1:26" s="289" customFormat="1" ht="12" customHeight="1">
      <c r="A146" s="1711"/>
      <c r="B146" s="1711"/>
      <c r="C146" s="320" t="s">
        <v>1636</v>
      </c>
      <c r="D146" s="2618"/>
      <c r="I146" s="2680"/>
      <c r="K146" s="289" t="s">
        <v>6483</v>
      </c>
      <c r="O146" s="3279"/>
      <c r="P146" s="3280"/>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6396</v>
      </c>
      <c r="G148" s="3283"/>
      <c r="H148" s="3284"/>
      <c r="I148" s="2702"/>
      <c r="K148" s="267" t="s">
        <v>2144</v>
      </c>
      <c r="O148" s="3172" t="s">
        <v>464</v>
      </c>
      <c r="P148" s="3151"/>
      <c r="Z148" s="1773">
        <v>148</v>
      </c>
    </row>
    <row r="149" spans="1:26" s="289" customFormat="1" ht="12" customHeight="1">
      <c r="A149" s="1711"/>
      <c r="B149" s="1711"/>
      <c r="C149" s="2621" t="s">
        <v>2071</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6481</v>
      </c>
      <c r="I151" s="2691"/>
      <c r="K151" s="289" t="s">
        <v>6480</v>
      </c>
      <c r="M151" s="2629"/>
      <c r="N151" s="2627"/>
      <c r="O151" s="3275"/>
      <c r="P151" s="3276"/>
      <c r="Z151" s="1773">
        <v>151</v>
      </c>
    </row>
    <row r="152" spans="1:26" s="289" customFormat="1" ht="12" customHeight="1">
      <c r="A152" s="1711"/>
      <c r="B152" s="1711"/>
      <c r="C152" s="2621" t="s">
        <v>6397</v>
      </c>
      <c r="D152" s="2621"/>
      <c r="E152" s="2621"/>
      <c r="F152" s="2629"/>
      <c r="I152" s="2701"/>
      <c r="K152" s="289" t="s">
        <v>6482</v>
      </c>
      <c r="N152" s="2627"/>
      <c r="O152" s="3277"/>
      <c r="P152" s="3278"/>
      <c r="Z152" s="1773">
        <v>152</v>
      </c>
    </row>
    <row r="153" spans="1:26" s="289" customFormat="1" ht="12" customHeight="1">
      <c r="A153" s="1711"/>
      <c r="B153" s="1711"/>
      <c r="C153" s="320" t="s">
        <v>1636</v>
      </c>
      <c r="D153" s="2618"/>
      <c r="I153" s="2680"/>
      <c r="K153" s="289" t="s">
        <v>6483</v>
      </c>
      <c r="O153" s="3279"/>
      <c r="P153" s="3280"/>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6396</v>
      </c>
      <c r="G155" s="3283"/>
      <c r="H155" s="3284"/>
      <c r="I155" s="2702"/>
      <c r="K155" s="267" t="s">
        <v>2144</v>
      </c>
      <c r="O155" s="3172" t="s">
        <v>464</v>
      </c>
      <c r="P155" s="3151"/>
      <c r="Z155" s="1773">
        <v>155</v>
      </c>
    </row>
    <row r="156" spans="1:26" s="289" customFormat="1" ht="12" customHeight="1">
      <c r="A156" s="1711"/>
      <c r="B156" s="1711"/>
      <c r="C156" s="2621" t="s">
        <v>2071</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4085</v>
      </c>
      <c r="F158" s="312"/>
      <c r="G158" s="312"/>
      <c r="I158" s="2703"/>
      <c r="K158" s="312" t="s">
        <v>4087</v>
      </c>
      <c r="L158" s="312"/>
      <c r="M158" s="312"/>
      <c r="O158" s="2704"/>
      <c r="P158" s="298"/>
      <c r="Z158" s="1773">
        <v>158</v>
      </c>
    </row>
    <row r="159" spans="1:26" s="289" customFormat="1" ht="12" customHeight="1">
      <c r="A159" s="1711"/>
      <c r="C159" s="1298"/>
      <c r="D159" s="2621"/>
      <c r="E159" s="312" t="s">
        <v>4086</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4084</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2772</v>
      </c>
      <c r="N166" s="2627"/>
      <c r="O166" s="2627"/>
      <c r="P166" s="3325"/>
      <c r="Z166" s="1773">
        <v>166</v>
      </c>
    </row>
    <row r="167" spans="1:26" s="289" customFormat="1" ht="12.6" customHeight="1">
      <c r="A167" s="1711"/>
      <c r="B167" s="1711"/>
      <c r="C167" s="469" t="s">
        <v>6302</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c r="J169" s="2618" t="s">
        <v>6304</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3928</v>
      </c>
      <c r="N171" s="3152"/>
      <c r="O171" s="3359"/>
      <c r="P171" s="3153"/>
      <c r="Z171" s="1773">
        <v>171</v>
      </c>
    </row>
    <row r="172" spans="1:26" s="289" customFormat="1" ht="12.6" customHeight="1">
      <c r="A172" s="1711"/>
      <c r="B172" s="1711"/>
      <c r="C172" s="2618" t="s">
        <v>3929</v>
      </c>
      <c r="D172" s="3169"/>
      <c r="E172" s="3170"/>
      <c r="F172" s="3148"/>
      <c r="G172" s="3170"/>
      <c r="H172" s="3171"/>
      <c r="I172" s="2626" t="s">
        <v>1716</v>
      </c>
      <c r="J172" s="3160"/>
      <c r="K172" s="3161"/>
      <c r="L172" s="3162"/>
      <c r="M172" s="1247" t="s">
        <v>1890</v>
      </c>
      <c r="N172" s="3169"/>
      <c r="O172" s="3170"/>
      <c r="P172" s="3171"/>
      <c r="Z172" s="1773">
        <v>172</v>
      </c>
    </row>
    <row r="173" spans="1:26" s="289" customFormat="1" ht="12.6" customHeight="1">
      <c r="A173" s="1711"/>
      <c r="B173" s="1711"/>
      <c r="C173" s="2618" t="s">
        <v>588</v>
      </c>
      <c r="D173" s="3169"/>
      <c r="E173" s="3171"/>
      <c r="F173" s="1245" t="s">
        <v>2128</v>
      </c>
      <c r="G173" s="3363"/>
      <c r="H173" s="3364"/>
      <c r="I173" s="321" t="s">
        <v>1719</v>
      </c>
      <c r="J173" s="3360"/>
      <c r="K173" s="3361"/>
      <c r="L173" s="3362"/>
      <c r="M173" s="1246" t="s">
        <v>1889</v>
      </c>
      <c r="N173" s="3360"/>
      <c r="O173" s="3361"/>
      <c r="P173" s="3362"/>
      <c r="Z173" s="1773">
        <v>173</v>
      </c>
    </row>
    <row r="174" spans="1:26" s="289" customFormat="1" ht="12.6" customHeight="1">
      <c r="A174" s="1711"/>
      <c r="B174" s="1711"/>
      <c r="C174" s="289" t="s">
        <v>2553</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3964</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6523</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55" t="s">
        <v>731</v>
      </c>
      <c r="K179" s="3356"/>
      <c r="L179" s="2692"/>
      <c r="M179" s="3352" t="s">
        <v>2222</v>
      </c>
      <c r="N179" s="3353"/>
      <c r="O179" s="3354"/>
      <c r="P179" s="2707"/>
      <c r="Z179" s="1773">
        <v>179</v>
      </c>
    </row>
    <row r="180" spans="1:26" s="289" customFormat="1" ht="12.6" customHeight="1">
      <c r="A180" s="1711"/>
      <c r="B180" s="1711"/>
      <c r="C180" s="1662" t="s">
        <v>2552</v>
      </c>
      <c r="D180" s="1662"/>
      <c r="E180" s="1662"/>
      <c r="F180" s="1662"/>
      <c r="G180" s="1662"/>
      <c r="I180" s="2693" t="s">
        <v>2769</v>
      </c>
      <c r="J180" s="3355" t="s">
        <v>731</v>
      </c>
      <c r="K180" s="3356"/>
      <c r="L180" s="2693">
        <v>2053</v>
      </c>
      <c r="M180" s="3352" t="s">
        <v>2222</v>
      </c>
      <c r="N180" s="3353"/>
      <c r="O180" s="3354"/>
      <c r="P180" s="2708">
        <v>30</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6798</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2769</v>
      </c>
      <c r="M185" s="267" t="s">
        <v>6488</v>
      </c>
      <c r="N185" s="1613"/>
      <c r="O185" s="3344">
        <v>44170</v>
      </c>
      <c r="P185" s="3345"/>
      <c r="Z185" s="1773">
        <v>185</v>
      </c>
    </row>
    <row r="186" spans="1:26" s="27" customFormat="1" ht="12" customHeight="1">
      <c r="B186" s="325"/>
      <c r="C186" s="2710" t="s">
        <v>1898</v>
      </c>
      <c r="D186" s="267" t="s">
        <v>6617</v>
      </c>
      <c r="E186" s="307"/>
      <c r="F186" s="1613"/>
      <c r="G186" s="1613"/>
      <c r="H186" s="1613"/>
      <c r="I186" s="481"/>
      <c r="J186" s="481"/>
      <c r="K186" s="481"/>
      <c r="L186" s="2712" t="s">
        <v>2772</v>
      </c>
      <c r="M186" s="267" t="s">
        <v>6488</v>
      </c>
      <c r="N186" s="1613"/>
      <c r="O186" s="3346"/>
      <c r="P186" s="3347"/>
      <c r="Z186" s="1773">
        <v>186</v>
      </c>
    </row>
    <row r="187" spans="1:26" s="27" customFormat="1" ht="12" customHeight="1">
      <c r="B187" s="325"/>
      <c r="C187" s="2710" t="s">
        <v>2416</v>
      </c>
      <c r="D187" s="267" t="s">
        <v>6489</v>
      </c>
      <c r="E187" s="307"/>
      <c r="F187" s="1613"/>
      <c r="G187" s="1613"/>
      <c r="H187" s="1613"/>
      <c r="I187" s="481"/>
      <c r="J187" s="481"/>
      <c r="K187" s="481"/>
      <c r="L187" s="2713" t="s">
        <v>2769</v>
      </c>
      <c r="M187" s="267" t="s">
        <v>6488</v>
      </c>
      <c r="N187" s="1613"/>
      <c r="O187" s="3285">
        <v>44132</v>
      </c>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6801</v>
      </c>
      <c r="D189" s="1613"/>
      <c r="E189" s="1613"/>
      <c r="F189" s="1613"/>
      <c r="G189" s="1613"/>
      <c r="H189" s="3287">
        <f>IF(AND(O185="",O186="",O187=""),"",MIN(O185:P187))</f>
        <v>44132</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6789</v>
      </c>
      <c r="D191" s="2720"/>
      <c r="E191" s="2720"/>
      <c r="F191" s="2720"/>
      <c r="G191" s="307"/>
      <c r="H191" s="3317" t="s">
        <v>6803</v>
      </c>
      <c r="I191" s="3318"/>
      <c r="J191" s="3305" t="s">
        <v>6788</v>
      </c>
      <c r="K191" s="3306"/>
      <c r="L191" s="3298" t="s">
        <v>6787</v>
      </c>
      <c r="M191" s="3298"/>
      <c r="N191" s="3298"/>
      <c r="O191" s="3298"/>
      <c r="P191" s="3298"/>
      <c r="Z191" s="1773">
        <v>191</v>
      </c>
    </row>
    <row r="192" spans="1:26" s="27" customFormat="1">
      <c r="A192" s="2717"/>
      <c r="B192" s="166"/>
      <c r="C192" s="2721" t="s">
        <v>6799</v>
      </c>
      <c r="D192" s="2722"/>
      <c r="E192" s="2722"/>
      <c r="F192" s="2723" t="s">
        <v>6781</v>
      </c>
      <c r="G192" s="2723" t="s">
        <v>6782</v>
      </c>
      <c r="H192" s="2724">
        <f>IF($H$189="","",$H$189)</f>
        <v>44132</v>
      </c>
      <c r="I192" s="2725" t="s">
        <v>6783</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6784</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6785</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6490</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6786</v>
      </c>
      <c r="D196" s="166"/>
      <c r="E196" s="289"/>
      <c r="F196" s="2730">
        <v>1</v>
      </c>
      <c r="G196" s="2730">
        <v>49</v>
      </c>
      <c r="H196" s="2731">
        <v>0.36</v>
      </c>
      <c r="I196" s="2731">
        <v>0.36</v>
      </c>
      <c r="J196" s="3303" t="s">
        <v>931</v>
      </c>
      <c r="K196" s="3304"/>
      <c r="L196" s="3300" t="s">
        <v>6966</v>
      </c>
      <c r="M196" s="3301"/>
      <c r="N196" s="3301"/>
      <c r="O196" s="3301"/>
      <c r="P196" s="3302"/>
      <c r="R196" s="307"/>
      <c r="S196" s="307"/>
      <c r="T196" s="307"/>
      <c r="U196" s="307"/>
      <c r="V196" s="307"/>
      <c r="Z196" s="1773">
        <v>196</v>
      </c>
    </row>
    <row r="197" spans="1:26" s="27" customFormat="1" ht="12" customHeight="1">
      <c r="A197" s="2732"/>
      <c r="B197" s="325"/>
      <c r="C197" s="3309" t="s">
        <v>6800</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6802</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t="s">
        <v>6969</v>
      </c>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6545</v>
      </c>
      <c r="M205" s="2627"/>
      <c r="N205" s="2627"/>
      <c r="P205" s="2702" t="s">
        <v>2772</v>
      </c>
      <c r="Z205" s="1773">
        <v>205</v>
      </c>
    </row>
    <row r="206" spans="1:26" s="289" customFormat="1" ht="12.6" customHeight="1">
      <c r="A206" s="1711"/>
      <c r="C206" s="2627" t="s">
        <v>2567</v>
      </c>
      <c r="I206" s="2702" t="s">
        <v>2772</v>
      </c>
      <c r="L206" s="2627" t="s">
        <v>2541</v>
      </c>
      <c r="N206" s="3326"/>
      <c r="O206" s="3327"/>
      <c r="P206" s="2702" t="s">
        <v>2772</v>
      </c>
      <c r="Z206" s="1773">
        <v>206</v>
      </c>
    </row>
    <row r="207" spans="1:26" s="289" customFormat="1" ht="12.6" customHeight="1">
      <c r="A207" s="1711"/>
      <c r="B207" s="1711"/>
      <c r="C207" s="2627" t="s">
        <v>1237</v>
      </c>
      <c r="D207" s="324"/>
      <c r="I207" s="2702" t="s">
        <v>2772</v>
      </c>
      <c r="K207" s="299"/>
      <c r="L207" s="2627" t="s">
        <v>3207</v>
      </c>
      <c r="M207" s="2627"/>
      <c r="N207" s="2627"/>
      <c r="P207" s="2702" t="s">
        <v>2772</v>
      </c>
      <c r="Z207" s="1773">
        <v>207</v>
      </c>
    </row>
    <row r="208" spans="1:26" s="289" customFormat="1" ht="12.6" customHeight="1">
      <c r="A208" s="1711"/>
      <c r="B208" s="291"/>
      <c r="C208" s="2627" t="s">
        <v>4126</v>
      </c>
      <c r="I208" s="2702" t="s">
        <v>2772</v>
      </c>
      <c r="J208" s="323" t="s">
        <v>2585</v>
      </c>
      <c r="O208" s="3328"/>
      <c r="P208" s="3329"/>
      <c r="Z208" s="1773">
        <v>208</v>
      </c>
    </row>
    <row r="209" spans="1:26" s="289" customFormat="1" ht="12.6" customHeight="1">
      <c r="A209" s="1711"/>
      <c r="B209" s="291"/>
      <c r="C209" s="2627" t="s">
        <v>1723</v>
      </c>
      <c r="I209" s="2702" t="s">
        <v>2772</v>
      </c>
      <c r="J209" s="323" t="s">
        <v>2585</v>
      </c>
      <c r="O209" s="3342"/>
      <c r="P209" s="3343"/>
      <c r="Z209" s="1773">
        <v>209</v>
      </c>
    </row>
    <row r="210" spans="1:26" s="289" customFormat="1" ht="12.6" customHeight="1">
      <c r="A210" s="1711"/>
      <c r="B210" s="1711"/>
      <c r="C210" s="2627" t="s">
        <v>2690</v>
      </c>
      <c r="I210" s="2702" t="s">
        <v>2772</v>
      </c>
      <c r="J210" s="323" t="s">
        <v>2585</v>
      </c>
      <c r="O210" s="3330"/>
      <c r="P210" s="3331"/>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2192</v>
      </c>
      <c r="I215" s="3340">
        <v>45139</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2" t="s">
        <v>6970</v>
      </c>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qU/HHDjXXHe6BFT2XN5RDzwL88fq8hCuc00iRq6DIaDFKxmNKLCeRH7Pm4oakWPXL1PTZZeA2yN9owrWWn0TWQ==" saltValue="5Bw0/m5DJ0nsUAdIyoMAy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6628</v>
      </c>
      <c r="E1" s="1809" t="s">
        <v>6618</v>
      </c>
      <c r="F1" s="1809" t="s">
        <v>6629</v>
      </c>
      <c r="H1" s="1809" t="s">
        <v>6630</v>
      </c>
      <c r="J1" s="1809" t="s">
        <v>6631</v>
      </c>
      <c r="K1" s="1809" t="s">
        <v>6632</v>
      </c>
      <c r="L1" s="1809" t="s">
        <v>6633</v>
      </c>
      <c r="M1" s="1809" t="s">
        <v>6634</v>
      </c>
      <c r="O1" s="1809" t="s">
        <v>6635</v>
      </c>
      <c r="Q1" s="1809" t="s">
        <v>6636</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2021-006 Wagon Works, East Point, Fulton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4" t="s">
        <v>6892</v>
      </c>
      <c r="I6" s="3385"/>
      <c r="J6" s="3385"/>
      <c r="K6" s="3385"/>
      <c r="L6" s="3385"/>
      <c r="M6" s="3385"/>
      <c r="N6" s="3386"/>
      <c r="O6" s="2620" t="s">
        <v>1899</v>
      </c>
      <c r="P6" s="2620"/>
      <c r="Q6" s="3384" t="s">
        <v>6849</v>
      </c>
      <c r="R6" s="3385"/>
      <c r="S6" s="3386"/>
      <c r="Y6" s="922"/>
      <c r="Z6" s="1773">
        <v>6</v>
      </c>
      <c r="AA6" s="2627"/>
    </row>
    <row r="7" spans="1:27" s="289" customFormat="1" ht="11.25" customHeight="1">
      <c r="D7" s="326"/>
      <c r="E7" s="2618" t="s">
        <v>982</v>
      </c>
      <c r="F7" s="301"/>
      <c r="H7" s="3147" t="s">
        <v>6852</v>
      </c>
      <c r="I7" s="3388"/>
      <c r="J7" s="3388"/>
      <c r="K7" s="3389"/>
      <c r="L7" s="3388"/>
      <c r="M7" s="3388"/>
      <c r="N7" s="3390"/>
      <c r="O7" s="2620" t="s">
        <v>1668</v>
      </c>
      <c r="Q7" s="3169" t="s">
        <v>6850</v>
      </c>
      <c r="R7" s="3249"/>
      <c r="S7" s="3250"/>
      <c r="V7" s="922"/>
      <c r="W7" s="922"/>
      <c r="X7" s="922"/>
      <c r="Y7" s="922"/>
      <c r="Z7" s="1773">
        <v>7</v>
      </c>
      <c r="AA7" s="2627"/>
    </row>
    <row r="8" spans="1:27" s="289" customFormat="1" ht="11.25" customHeight="1">
      <c r="D8" s="326"/>
      <c r="E8" s="2618" t="s">
        <v>588</v>
      </c>
      <c r="H8" s="3147" t="s">
        <v>1159</v>
      </c>
      <c r="I8" s="3389"/>
      <c r="J8" s="3262"/>
      <c r="K8" s="2752" t="s">
        <v>732</v>
      </c>
      <c r="L8" s="3172" t="s">
        <v>2972</v>
      </c>
      <c r="M8" s="3388"/>
      <c r="N8" s="3390"/>
      <c r="O8" s="2620" t="s">
        <v>1644</v>
      </c>
      <c r="Q8" s="3360">
        <v>7706350157</v>
      </c>
      <c r="R8" s="3361"/>
      <c r="S8" s="3362"/>
      <c r="Z8" s="1773">
        <v>8</v>
      </c>
    </row>
    <row r="9" spans="1:27" s="289" customFormat="1" ht="11.25" customHeight="1">
      <c r="D9" s="326"/>
      <c r="E9" s="2618" t="s">
        <v>1717</v>
      </c>
      <c r="H9" s="2694" t="s">
        <v>815</v>
      </c>
      <c r="I9" s="916" t="s">
        <v>2128</v>
      </c>
      <c r="J9" s="3378">
        <v>303395704</v>
      </c>
      <c r="K9" s="3379"/>
      <c r="L9" s="289" t="s">
        <v>3323</v>
      </c>
      <c r="M9" s="3380" t="s">
        <v>6853</v>
      </c>
      <c r="N9" s="3381"/>
      <c r="O9" s="2620" t="s">
        <v>1889</v>
      </c>
      <c r="Q9" s="3360">
        <v>4042340004</v>
      </c>
      <c r="R9" s="3361"/>
      <c r="S9" s="3362"/>
      <c r="Z9" s="1773">
        <v>9</v>
      </c>
    </row>
    <row r="10" spans="1:27" s="289" customFormat="1" ht="11.25" customHeight="1">
      <c r="D10" s="326"/>
      <c r="E10" s="2618" t="s">
        <v>3614</v>
      </c>
      <c r="H10" s="3382">
        <v>7709842100</v>
      </c>
      <c r="I10" s="3383"/>
      <c r="J10" s="2753">
        <v>107</v>
      </c>
      <c r="K10" s="2629" t="s">
        <v>1894</v>
      </c>
      <c r="L10" s="3178" t="s">
        <v>6851</v>
      </c>
      <c r="M10" s="3259"/>
      <c r="N10" s="3259"/>
      <c r="O10" s="3179"/>
      <c r="P10" s="3179"/>
      <c r="Q10" s="3259"/>
      <c r="R10" s="3259"/>
      <c r="S10" s="3260"/>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4" t="s">
        <v>6893</v>
      </c>
      <c r="I15" s="3385"/>
      <c r="J15" s="3385"/>
      <c r="K15" s="3385"/>
      <c r="L15" s="3385"/>
      <c r="M15" s="3385"/>
      <c r="N15" s="3386"/>
      <c r="O15" s="2620" t="s">
        <v>1899</v>
      </c>
      <c r="P15" s="2620"/>
      <c r="Q15" s="3384" t="s">
        <v>6849</v>
      </c>
      <c r="R15" s="3385"/>
      <c r="S15" s="3386"/>
      <c r="Z15" s="1773">
        <v>15</v>
      </c>
    </row>
    <row r="16" spans="1:27" s="289" customFormat="1" ht="11.25" customHeight="1">
      <c r="D16" s="326"/>
      <c r="E16" s="2618" t="s">
        <v>982</v>
      </c>
      <c r="F16" s="301"/>
      <c r="H16" s="3147" t="s">
        <v>6852</v>
      </c>
      <c r="I16" s="3388"/>
      <c r="J16" s="3388"/>
      <c r="K16" s="3389"/>
      <c r="L16" s="3388"/>
      <c r="M16" s="3388"/>
      <c r="N16" s="3390"/>
      <c r="O16" s="2620" t="s">
        <v>1668</v>
      </c>
      <c r="Q16" s="3169" t="s">
        <v>6854</v>
      </c>
      <c r="R16" s="3249"/>
      <c r="S16" s="3250"/>
      <c r="Z16" s="1773">
        <v>16</v>
      </c>
    </row>
    <row r="17" spans="4:26" s="289" customFormat="1" ht="11.25" customHeight="1">
      <c r="D17" s="326"/>
      <c r="E17" s="2618" t="s">
        <v>588</v>
      </c>
      <c r="H17" s="3147" t="s">
        <v>1159</v>
      </c>
      <c r="I17" s="3389"/>
      <c r="J17" s="3262"/>
      <c r="K17" s="2635" t="s">
        <v>2553</v>
      </c>
      <c r="L17" s="3147" t="s">
        <v>6855</v>
      </c>
      <c r="M17" s="3388"/>
      <c r="N17" s="3262"/>
      <c r="O17" s="2620" t="s">
        <v>1644</v>
      </c>
      <c r="Q17" s="3360">
        <v>7706350157</v>
      </c>
      <c r="R17" s="3361"/>
      <c r="S17" s="3362"/>
      <c r="Z17" s="1773">
        <v>17</v>
      </c>
    </row>
    <row r="18" spans="4:26" s="289" customFormat="1" ht="11.25" customHeight="1">
      <c r="D18" s="291"/>
      <c r="E18" s="2618" t="s">
        <v>1717</v>
      </c>
      <c r="H18" s="2694" t="s">
        <v>815</v>
      </c>
      <c r="K18" s="916" t="s">
        <v>2128</v>
      </c>
      <c r="L18" s="3157">
        <v>303395704</v>
      </c>
      <c r="M18" s="3391"/>
      <c r="O18" s="2620" t="s">
        <v>1889</v>
      </c>
      <c r="Q18" s="3360">
        <v>4042340004</v>
      </c>
      <c r="R18" s="3361"/>
      <c r="S18" s="3362"/>
      <c r="Z18" s="1773">
        <v>18</v>
      </c>
    </row>
    <row r="19" spans="4:26" s="289" customFormat="1" ht="11.25" customHeight="1">
      <c r="D19" s="326"/>
      <c r="E19" s="2618" t="s">
        <v>3614</v>
      </c>
      <c r="H19" s="3382">
        <v>7709842100</v>
      </c>
      <c r="I19" s="3387"/>
      <c r="J19" s="2756">
        <v>107</v>
      </c>
      <c r="K19" s="2629" t="s">
        <v>1894</v>
      </c>
      <c r="L19" s="3367" t="s">
        <v>6851</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4"/>
      <c r="I21" s="3385"/>
      <c r="J21" s="3385"/>
      <c r="K21" s="3385"/>
      <c r="L21" s="3385"/>
      <c r="M21" s="3385"/>
      <c r="N21" s="3386"/>
      <c r="O21" s="2620" t="s">
        <v>1899</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2553</v>
      </c>
      <c r="L23" s="3147"/>
      <c r="M23" s="3388"/>
      <c r="N23" s="3262"/>
      <c r="O23" s="2620" t="s">
        <v>1644</v>
      </c>
      <c r="Q23" s="3360"/>
      <c r="R23" s="3361"/>
      <c r="S23" s="3362"/>
      <c r="Z23" s="1773">
        <v>23</v>
      </c>
    </row>
    <row r="24" spans="4:26" s="289" customFormat="1" ht="11.25" customHeight="1">
      <c r="E24" s="2618" t="s">
        <v>1717</v>
      </c>
      <c r="H24" s="2694"/>
      <c r="K24" s="916" t="s">
        <v>2128</v>
      </c>
      <c r="L24" s="3157"/>
      <c r="M24" s="3391"/>
      <c r="O24" s="2620" t="s">
        <v>1889</v>
      </c>
      <c r="Q24" s="3360"/>
      <c r="R24" s="3361"/>
      <c r="S24" s="3362"/>
      <c r="Z24" s="1773">
        <v>24</v>
      </c>
    </row>
    <row r="25" spans="4:26" s="289" customFormat="1" ht="11.25" customHeight="1">
      <c r="D25" s="326"/>
      <c r="E25" s="2618" t="s">
        <v>3614</v>
      </c>
      <c r="H25" s="3382"/>
      <c r="I25" s="3387"/>
      <c r="J25" s="2756"/>
      <c r="K25" s="2629" t="s">
        <v>1894</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4"/>
      <c r="I27" s="3385"/>
      <c r="J27" s="3385"/>
      <c r="K27" s="3385"/>
      <c r="L27" s="3385"/>
      <c r="M27" s="3385"/>
      <c r="N27" s="3386"/>
      <c r="O27" s="2620" t="s">
        <v>1899</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2553</v>
      </c>
      <c r="L29" s="3147"/>
      <c r="M29" s="3388"/>
      <c r="N29" s="3262"/>
      <c r="O29" s="2620" t="s">
        <v>1644</v>
      </c>
      <c r="Q29" s="3360"/>
      <c r="R29" s="3361"/>
      <c r="S29" s="3362"/>
      <c r="Z29" s="1773">
        <v>29</v>
      </c>
    </row>
    <row r="30" spans="4:26" s="289" customFormat="1" ht="11.25" customHeight="1">
      <c r="E30" s="2618" t="s">
        <v>1717</v>
      </c>
      <c r="H30" s="2694"/>
      <c r="K30" s="916" t="s">
        <v>2128</v>
      </c>
      <c r="L30" s="3157"/>
      <c r="M30" s="3391"/>
      <c r="O30" s="2620" t="s">
        <v>1889</v>
      </c>
      <c r="Q30" s="3360"/>
      <c r="R30" s="3361"/>
      <c r="S30" s="3362"/>
      <c r="Z30" s="1773">
        <v>30</v>
      </c>
    </row>
    <row r="31" spans="4:26" s="289" customFormat="1" ht="11.25" customHeight="1">
      <c r="D31" s="326"/>
      <c r="E31" s="2618" t="s">
        <v>3614</v>
      </c>
      <c r="H31" s="3382"/>
      <c r="I31" s="3387"/>
      <c r="J31" s="2756"/>
      <c r="K31" s="2629" t="s">
        <v>1894</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1898</v>
      </c>
      <c r="D33" s="325" t="s">
        <v>1773</v>
      </c>
      <c r="H33" s="2627"/>
      <c r="I33" s="2627"/>
      <c r="J33" s="2627"/>
      <c r="K33" s="1053" t="s">
        <v>3613</v>
      </c>
      <c r="L33" s="2627"/>
      <c r="M33" s="2627"/>
      <c r="Z33" s="1773">
        <v>33</v>
      </c>
    </row>
    <row r="34" spans="3:26" s="289" customFormat="1" ht="11.25" customHeight="1">
      <c r="D34" s="291" t="s">
        <v>2022</v>
      </c>
      <c r="E34" s="289" t="s">
        <v>720</v>
      </c>
      <c r="H34" s="3384" t="s">
        <v>6856</v>
      </c>
      <c r="I34" s="3385"/>
      <c r="J34" s="3385"/>
      <c r="K34" s="3385"/>
      <c r="L34" s="3385"/>
      <c r="M34" s="3385"/>
      <c r="N34" s="3386"/>
      <c r="O34" s="2620" t="s">
        <v>1899</v>
      </c>
      <c r="P34" s="2620"/>
      <c r="Q34" s="3384" t="s">
        <v>6857</v>
      </c>
      <c r="R34" s="3385"/>
      <c r="S34" s="3386"/>
      <c r="Z34" s="1773">
        <v>34</v>
      </c>
    </row>
    <row r="35" spans="3:26" s="289" customFormat="1" ht="11.25" customHeight="1">
      <c r="D35" s="326"/>
      <c r="E35" s="2618" t="s">
        <v>982</v>
      </c>
      <c r="F35" s="301"/>
      <c r="H35" s="3147" t="s">
        <v>6858</v>
      </c>
      <c r="I35" s="3388"/>
      <c r="J35" s="3388"/>
      <c r="K35" s="3389"/>
      <c r="L35" s="3388"/>
      <c r="M35" s="3388"/>
      <c r="N35" s="3390"/>
      <c r="O35" s="2620" t="s">
        <v>1668</v>
      </c>
      <c r="Q35" s="3169" t="s">
        <v>6859</v>
      </c>
      <c r="R35" s="3249"/>
      <c r="S35" s="3250"/>
      <c r="Z35" s="1773">
        <v>35</v>
      </c>
    </row>
    <row r="36" spans="3:26" s="289" customFormat="1" ht="11.25" customHeight="1">
      <c r="D36" s="326"/>
      <c r="E36" s="2618" t="s">
        <v>588</v>
      </c>
      <c r="H36" s="3147" t="s">
        <v>1448</v>
      </c>
      <c r="I36" s="3389"/>
      <c r="J36" s="3262"/>
      <c r="K36" s="2635" t="s">
        <v>2553</v>
      </c>
      <c r="L36" s="3147" t="s">
        <v>6860</v>
      </c>
      <c r="M36" s="3388"/>
      <c r="N36" s="3262"/>
      <c r="O36" s="2620" t="s">
        <v>1644</v>
      </c>
      <c r="Q36" s="3360">
        <v>5024509952</v>
      </c>
      <c r="R36" s="3361"/>
      <c r="S36" s="3362"/>
      <c r="Z36" s="1773">
        <v>36</v>
      </c>
    </row>
    <row r="37" spans="3:26" s="289" customFormat="1" ht="11.25" customHeight="1">
      <c r="E37" s="2618" t="s">
        <v>1717</v>
      </c>
      <c r="H37" s="2694" t="s">
        <v>822</v>
      </c>
      <c r="K37" s="916" t="s">
        <v>2128</v>
      </c>
      <c r="L37" s="3157">
        <v>402071296</v>
      </c>
      <c r="M37" s="3391"/>
      <c r="O37" s="2620" t="s">
        <v>1889</v>
      </c>
      <c r="Q37" s="3360">
        <v>5024037171</v>
      </c>
      <c r="R37" s="3361"/>
      <c r="S37" s="3362"/>
      <c r="Z37" s="1773">
        <v>37</v>
      </c>
    </row>
    <row r="38" spans="3:26" s="289" customFormat="1" ht="11.25" customHeight="1">
      <c r="D38" s="326"/>
      <c r="E38" s="2618" t="s">
        <v>3614</v>
      </c>
      <c r="H38" s="3382">
        <v>5024509952</v>
      </c>
      <c r="I38" s="3387"/>
      <c r="J38" s="2756"/>
      <c r="K38" s="2629" t="s">
        <v>1894</v>
      </c>
      <c r="L38" s="3367" t="s">
        <v>6861</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4" t="s">
        <v>6856</v>
      </c>
      <c r="I40" s="3385"/>
      <c r="J40" s="3385"/>
      <c r="K40" s="3385"/>
      <c r="L40" s="3385"/>
      <c r="M40" s="3385"/>
      <c r="N40" s="3386"/>
      <c r="O40" s="2620" t="s">
        <v>1899</v>
      </c>
      <c r="P40" s="2620"/>
      <c r="Q40" s="3384" t="s">
        <v>6857</v>
      </c>
      <c r="R40" s="3385"/>
      <c r="S40" s="3386"/>
      <c r="Z40" s="1773">
        <v>40</v>
      </c>
    </row>
    <row r="41" spans="3:26" s="289" customFormat="1" ht="11.25" customHeight="1">
      <c r="D41" s="326"/>
      <c r="E41" s="2618" t="s">
        <v>982</v>
      </c>
      <c r="F41" s="301"/>
      <c r="H41" s="3147" t="s">
        <v>6858</v>
      </c>
      <c r="I41" s="3388"/>
      <c r="J41" s="3388"/>
      <c r="K41" s="3389"/>
      <c r="L41" s="3388"/>
      <c r="M41" s="3388"/>
      <c r="N41" s="3390"/>
      <c r="O41" s="2620" t="s">
        <v>1668</v>
      </c>
      <c r="Q41" s="3169" t="s">
        <v>6859</v>
      </c>
      <c r="R41" s="3249"/>
      <c r="S41" s="3250"/>
      <c r="Z41" s="1773">
        <v>41</v>
      </c>
    </row>
    <row r="42" spans="3:26" s="289" customFormat="1" ht="11.25" customHeight="1">
      <c r="D42" s="326"/>
      <c r="E42" s="2618" t="s">
        <v>588</v>
      </c>
      <c r="H42" s="3147" t="s">
        <v>1448</v>
      </c>
      <c r="I42" s="3389"/>
      <c r="J42" s="3262"/>
      <c r="K42" s="2635" t="s">
        <v>2553</v>
      </c>
      <c r="L42" s="3147" t="s">
        <v>6860</v>
      </c>
      <c r="M42" s="3388"/>
      <c r="N42" s="3262"/>
      <c r="O42" s="2620" t="s">
        <v>1644</v>
      </c>
      <c r="Q42" s="3360">
        <v>5024509952</v>
      </c>
      <c r="R42" s="3361"/>
      <c r="S42" s="3362"/>
      <c r="Z42" s="1773">
        <v>42</v>
      </c>
    </row>
    <row r="43" spans="3:26" s="289" customFormat="1" ht="11.25" customHeight="1">
      <c r="D43" s="291"/>
      <c r="E43" s="2618" t="s">
        <v>1717</v>
      </c>
      <c r="H43" s="2694" t="s">
        <v>822</v>
      </c>
      <c r="K43" s="916" t="s">
        <v>2128</v>
      </c>
      <c r="L43" s="3157">
        <v>402071296</v>
      </c>
      <c r="M43" s="3391"/>
      <c r="O43" s="2620" t="s">
        <v>1889</v>
      </c>
      <c r="Q43" s="3360">
        <v>5024037171</v>
      </c>
      <c r="R43" s="3361"/>
      <c r="S43" s="3362"/>
      <c r="Z43" s="1773">
        <v>43</v>
      </c>
    </row>
    <row r="44" spans="3:26" s="289" customFormat="1" ht="11.25" customHeight="1">
      <c r="D44" s="326"/>
      <c r="E44" s="2618" t="s">
        <v>3614</v>
      </c>
      <c r="H44" s="3382">
        <v>5024509952</v>
      </c>
      <c r="I44" s="3387"/>
      <c r="J44" s="2756"/>
      <c r="K44" s="2629" t="s">
        <v>1894</v>
      </c>
      <c r="L44" s="3367" t="s">
        <v>6861</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3613</v>
      </c>
      <c r="L46" s="2627"/>
      <c r="M46" s="2627"/>
      <c r="Z46" s="1773">
        <v>46</v>
      </c>
    </row>
    <row r="47" spans="3:26" s="289" customFormat="1" ht="11.25" customHeight="1">
      <c r="E47" s="289" t="s">
        <v>87</v>
      </c>
      <c r="H47" s="3384"/>
      <c r="I47" s="3385"/>
      <c r="J47" s="3385"/>
      <c r="K47" s="3385"/>
      <c r="L47" s="3385"/>
      <c r="M47" s="3385"/>
      <c r="N47" s="3386"/>
      <c r="O47" s="2620" t="s">
        <v>1899</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2553</v>
      </c>
      <c r="L49" s="3147"/>
      <c r="M49" s="3388"/>
      <c r="N49" s="3262"/>
      <c r="O49" s="2620" t="s">
        <v>1644</v>
      </c>
      <c r="Q49" s="3360"/>
      <c r="R49" s="3361"/>
      <c r="S49" s="3362"/>
      <c r="Z49" s="1773">
        <v>49</v>
      </c>
    </row>
    <row r="50" spans="1:26" s="289" customFormat="1" ht="11.25" customHeight="1">
      <c r="E50" s="2618" t="s">
        <v>1717</v>
      </c>
      <c r="H50" s="2694"/>
      <c r="K50" s="916" t="s">
        <v>2128</v>
      </c>
      <c r="L50" s="3157"/>
      <c r="M50" s="3391"/>
      <c r="O50" s="2620" t="s">
        <v>1889</v>
      </c>
      <c r="Q50" s="3360"/>
      <c r="R50" s="3361"/>
      <c r="S50" s="3362"/>
      <c r="Z50" s="1773">
        <v>50</v>
      </c>
    </row>
    <row r="51" spans="1:26" s="289" customFormat="1" ht="11.25" customHeight="1">
      <c r="D51" s="326"/>
      <c r="E51" s="2618" t="s">
        <v>3614</v>
      </c>
      <c r="H51" s="3382"/>
      <c r="I51" s="3387"/>
      <c r="J51" s="2756"/>
      <c r="K51" s="2629" t="s">
        <v>1894</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3613</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4" t="s">
        <v>6862</v>
      </c>
      <c r="I55" s="3385"/>
      <c r="J55" s="3385"/>
      <c r="K55" s="3385"/>
      <c r="L55" s="3385"/>
      <c r="M55" s="3385"/>
      <c r="N55" s="3386"/>
      <c r="O55" s="2620" t="s">
        <v>1899</v>
      </c>
      <c r="P55" s="2620"/>
      <c r="Q55" s="3384" t="s">
        <v>6849</v>
      </c>
      <c r="R55" s="3385"/>
      <c r="S55" s="3386"/>
      <c r="Z55" s="1773">
        <v>55</v>
      </c>
    </row>
    <row r="56" spans="1:26" s="289" customFormat="1" ht="11.25" customHeight="1">
      <c r="D56" s="326"/>
      <c r="E56" s="2618" t="s">
        <v>982</v>
      </c>
      <c r="F56" s="301"/>
      <c r="H56" s="3147" t="s">
        <v>6852</v>
      </c>
      <c r="I56" s="3388"/>
      <c r="J56" s="3388"/>
      <c r="K56" s="3389"/>
      <c r="L56" s="3388"/>
      <c r="M56" s="3388"/>
      <c r="N56" s="3390"/>
      <c r="O56" s="2620" t="s">
        <v>1668</v>
      </c>
      <c r="Q56" s="3169" t="s">
        <v>6854</v>
      </c>
      <c r="R56" s="3249"/>
      <c r="S56" s="3250"/>
      <c r="Z56" s="1773">
        <v>56</v>
      </c>
    </row>
    <row r="57" spans="1:26" s="289" customFormat="1" ht="11.25" customHeight="1">
      <c r="D57" s="326"/>
      <c r="E57" s="2618" t="s">
        <v>588</v>
      </c>
      <c r="H57" s="3147" t="s">
        <v>1159</v>
      </c>
      <c r="I57" s="3389"/>
      <c r="J57" s="3262"/>
      <c r="K57" s="2635" t="s">
        <v>2553</v>
      </c>
      <c r="L57" s="3147" t="s">
        <v>6855</v>
      </c>
      <c r="M57" s="3388"/>
      <c r="N57" s="3262"/>
      <c r="O57" s="2620" t="s">
        <v>1644</v>
      </c>
      <c r="Q57" s="3360">
        <v>7706350157</v>
      </c>
      <c r="R57" s="3361"/>
      <c r="S57" s="3362"/>
      <c r="Z57" s="1773">
        <v>57</v>
      </c>
    </row>
    <row r="58" spans="1:26" s="289" customFormat="1" ht="11.25" customHeight="1">
      <c r="E58" s="2618" t="s">
        <v>1717</v>
      </c>
      <c r="H58" s="2694" t="s">
        <v>815</v>
      </c>
      <c r="K58" s="916" t="s">
        <v>2128</v>
      </c>
      <c r="L58" s="3157">
        <v>303395704</v>
      </c>
      <c r="M58" s="3391"/>
      <c r="O58" s="2620" t="s">
        <v>1889</v>
      </c>
      <c r="Q58" s="3360">
        <v>4042340004</v>
      </c>
      <c r="R58" s="3361"/>
      <c r="S58" s="3362"/>
      <c r="Z58" s="1773">
        <v>58</v>
      </c>
    </row>
    <row r="59" spans="1:26" s="289" customFormat="1" ht="11.25" customHeight="1">
      <c r="D59" s="326"/>
      <c r="E59" s="2618" t="s">
        <v>3614</v>
      </c>
      <c r="H59" s="3382">
        <v>7709842100</v>
      </c>
      <c r="I59" s="3387"/>
      <c r="J59" s="2756">
        <v>107</v>
      </c>
      <c r="K59" s="2629" t="s">
        <v>1894</v>
      </c>
      <c r="L59" s="3367" t="s">
        <v>6851</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4"/>
      <c r="I61" s="3385"/>
      <c r="J61" s="3385"/>
      <c r="K61" s="3385"/>
      <c r="L61" s="3385"/>
      <c r="M61" s="3385"/>
      <c r="N61" s="3386"/>
      <c r="O61" s="2620" t="s">
        <v>1899</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2553</v>
      </c>
      <c r="L63" s="3147"/>
      <c r="M63" s="3388"/>
      <c r="N63" s="3262"/>
      <c r="O63" s="2620" t="s">
        <v>1644</v>
      </c>
      <c r="Q63" s="3360"/>
      <c r="R63" s="3361"/>
      <c r="S63" s="3362"/>
      <c r="Z63" s="1773">
        <v>63</v>
      </c>
    </row>
    <row r="64" spans="1:26" s="289" customFormat="1" ht="11.25" customHeight="1">
      <c r="E64" s="2618" t="s">
        <v>1717</v>
      </c>
      <c r="H64" s="2694"/>
      <c r="K64" s="916" t="s">
        <v>2128</v>
      </c>
      <c r="L64" s="3157"/>
      <c r="M64" s="3391"/>
      <c r="O64" s="2620" t="s">
        <v>1889</v>
      </c>
      <c r="Q64" s="3360"/>
      <c r="R64" s="3361"/>
      <c r="S64" s="3362"/>
      <c r="Z64" s="1773">
        <v>64</v>
      </c>
    </row>
    <row r="65" spans="1:26" s="289" customFormat="1" ht="11.25" customHeight="1">
      <c r="D65" s="326"/>
      <c r="E65" s="2618" t="s">
        <v>3614</v>
      </c>
      <c r="H65" s="3382"/>
      <c r="I65" s="3387"/>
      <c r="J65" s="2756"/>
      <c r="K65" s="2629" t="s">
        <v>1894</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1899</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2553</v>
      </c>
      <c r="L69" s="3147"/>
      <c r="M69" s="3388"/>
      <c r="N69" s="3262"/>
      <c r="O69" s="2620" t="s">
        <v>1644</v>
      </c>
      <c r="Q69" s="3360"/>
      <c r="R69" s="3361"/>
      <c r="S69" s="3362"/>
      <c r="Z69" s="1773">
        <v>69</v>
      </c>
    </row>
    <row r="70" spans="1:26" s="289" customFormat="1" ht="11.25" customHeight="1">
      <c r="E70" s="2618" t="s">
        <v>1717</v>
      </c>
      <c r="H70" s="2694"/>
      <c r="K70" s="916" t="s">
        <v>2128</v>
      </c>
      <c r="L70" s="3157"/>
      <c r="M70" s="3391"/>
      <c r="O70" s="2620" t="s">
        <v>1889</v>
      </c>
      <c r="Q70" s="3360"/>
      <c r="R70" s="3361"/>
      <c r="S70" s="3362"/>
      <c r="Z70" s="1773">
        <v>70</v>
      </c>
    </row>
    <row r="71" spans="1:26" s="289" customFormat="1" ht="11.25" customHeight="1">
      <c r="D71" s="326"/>
      <c r="E71" s="2618" t="s">
        <v>3614</v>
      </c>
      <c r="H71" s="3382"/>
      <c r="I71" s="3387"/>
      <c r="J71" s="2756"/>
      <c r="K71" s="2629" t="s">
        <v>1894</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4"/>
      <c r="I73" s="3385"/>
      <c r="J73" s="3385"/>
      <c r="K73" s="3385"/>
      <c r="L73" s="3385"/>
      <c r="M73" s="3385"/>
      <c r="N73" s="3386"/>
      <c r="O73" s="2620" t="s">
        <v>1899</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2553</v>
      </c>
      <c r="L75" s="3147"/>
      <c r="M75" s="3388"/>
      <c r="N75" s="3262"/>
      <c r="O75" s="2620" t="s">
        <v>1644</v>
      </c>
      <c r="Q75" s="3360"/>
      <c r="R75" s="3361"/>
      <c r="S75" s="3362"/>
      <c r="Z75" s="1773">
        <v>75</v>
      </c>
    </row>
    <row r="76" spans="1:26" s="289" customFormat="1" ht="11.25" customHeight="1">
      <c r="E76" s="2618" t="s">
        <v>1717</v>
      </c>
      <c r="H76" s="2694"/>
      <c r="K76" s="916" t="s">
        <v>2128</v>
      </c>
      <c r="L76" s="3157"/>
      <c r="M76" s="3391"/>
      <c r="O76" s="2620" t="s">
        <v>1889</v>
      </c>
      <c r="Q76" s="3360"/>
      <c r="R76" s="3361"/>
      <c r="S76" s="3362"/>
      <c r="Z76" s="1773">
        <v>76</v>
      </c>
    </row>
    <row r="77" spans="1:26" s="289" customFormat="1" ht="11.25" customHeight="1">
      <c r="D77" s="326"/>
      <c r="E77" s="2618" t="s">
        <v>3614</v>
      </c>
      <c r="H77" s="3382"/>
      <c r="I77" s="3387"/>
      <c r="J77" s="2756"/>
      <c r="K77" s="2629" t="s">
        <v>1894</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3613</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4"/>
      <c r="I81" s="3385"/>
      <c r="J81" s="3385"/>
      <c r="K81" s="3385"/>
      <c r="L81" s="3385"/>
      <c r="M81" s="3385"/>
      <c r="N81" s="3386"/>
      <c r="O81" s="2620" t="s">
        <v>1899</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2553</v>
      </c>
      <c r="L83" s="3147"/>
      <c r="M83" s="3388"/>
      <c r="N83" s="3262"/>
      <c r="O83" s="2620" t="s">
        <v>1644</v>
      </c>
      <c r="Q83" s="3360"/>
      <c r="R83" s="3361"/>
      <c r="S83" s="3362"/>
      <c r="Z83" s="1773">
        <v>83</v>
      </c>
    </row>
    <row r="84" spans="2:26" s="289" customFormat="1" ht="11.25" customHeight="1">
      <c r="E84" s="2618" t="s">
        <v>1717</v>
      </c>
      <c r="H84" s="2694"/>
      <c r="K84" s="916" t="s">
        <v>2128</v>
      </c>
      <c r="L84" s="3157"/>
      <c r="M84" s="3391"/>
      <c r="O84" s="2620" t="s">
        <v>1889</v>
      </c>
      <c r="Q84" s="3360"/>
      <c r="R84" s="3361"/>
      <c r="S84" s="3362"/>
      <c r="Z84" s="1773">
        <v>84</v>
      </c>
    </row>
    <row r="85" spans="2:26" s="289" customFormat="1" ht="11.25" customHeight="1">
      <c r="D85" s="326"/>
      <c r="E85" s="2618" t="s">
        <v>3614</v>
      </c>
      <c r="H85" s="3382"/>
      <c r="I85" s="3387"/>
      <c r="J85" s="2756"/>
      <c r="K85" s="2629" t="s">
        <v>1894</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4" t="s">
        <v>6863</v>
      </c>
      <c r="I87" s="3385"/>
      <c r="J87" s="3385"/>
      <c r="K87" s="3385"/>
      <c r="L87" s="3385"/>
      <c r="M87" s="3385"/>
      <c r="N87" s="3386"/>
      <c r="O87" s="2620" t="s">
        <v>1899</v>
      </c>
      <c r="P87" s="2620"/>
      <c r="Q87" s="3384" t="s">
        <v>6864</v>
      </c>
      <c r="R87" s="3385"/>
      <c r="S87" s="3386"/>
      <c r="Z87" s="1773">
        <v>87</v>
      </c>
    </row>
    <row r="88" spans="2:26" s="289" customFormat="1" ht="11.25" customHeight="1">
      <c r="D88" s="326"/>
      <c r="E88" s="2618" t="s">
        <v>982</v>
      </c>
      <c r="F88" s="301"/>
      <c r="H88" s="3147" t="s">
        <v>6865</v>
      </c>
      <c r="I88" s="3388"/>
      <c r="J88" s="3388"/>
      <c r="K88" s="3389"/>
      <c r="L88" s="3388"/>
      <c r="M88" s="3388"/>
      <c r="N88" s="3390"/>
      <c r="O88" s="2620" t="s">
        <v>1668</v>
      </c>
      <c r="Q88" s="3169" t="s">
        <v>6854</v>
      </c>
      <c r="R88" s="3249"/>
      <c r="S88" s="3250"/>
      <c r="Z88" s="1773">
        <v>88</v>
      </c>
    </row>
    <row r="89" spans="2:26" s="289" customFormat="1" ht="11.25" customHeight="1">
      <c r="D89" s="326"/>
      <c r="E89" s="2618" t="s">
        <v>588</v>
      </c>
      <c r="H89" s="3147" t="s">
        <v>1620</v>
      </c>
      <c r="I89" s="3389"/>
      <c r="J89" s="3262"/>
      <c r="K89" s="2635" t="s">
        <v>2553</v>
      </c>
      <c r="L89" s="3147" t="s">
        <v>6866</v>
      </c>
      <c r="M89" s="3388"/>
      <c r="N89" s="3262"/>
      <c r="O89" s="2620" t="s">
        <v>1644</v>
      </c>
      <c r="Q89" s="3360">
        <v>2295619997</v>
      </c>
      <c r="R89" s="3361"/>
      <c r="S89" s="3362"/>
      <c r="Z89" s="1773">
        <v>89</v>
      </c>
    </row>
    <row r="90" spans="2:26" s="289" customFormat="1" ht="11.25" customHeight="1">
      <c r="E90" s="2618" t="s">
        <v>1717</v>
      </c>
      <c r="H90" s="2694" t="s">
        <v>815</v>
      </c>
      <c r="K90" s="916" t="s">
        <v>2128</v>
      </c>
      <c r="L90" s="3157">
        <v>316022135</v>
      </c>
      <c r="M90" s="3391"/>
      <c r="O90" s="2620" t="s">
        <v>1889</v>
      </c>
      <c r="Q90" s="3360">
        <v>2295619997</v>
      </c>
      <c r="R90" s="3361"/>
      <c r="S90" s="3362"/>
      <c r="Z90" s="1773">
        <v>90</v>
      </c>
    </row>
    <row r="91" spans="2:26" s="289" customFormat="1" ht="11.25" customHeight="1">
      <c r="D91" s="326"/>
      <c r="E91" s="2618" t="s">
        <v>3614</v>
      </c>
      <c r="H91" s="3382">
        <v>2295066876</v>
      </c>
      <c r="I91" s="3387"/>
      <c r="J91" s="2756"/>
      <c r="K91" s="2629" t="s">
        <v>1894</v>
      </c>
      <c r="L91" s="3367" t="s">
        <v>6867</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6868</v>
      </c>
      <c r="I93" s="3385"/>
      <c r="J93" s="3385"/>
      <c r="K93" s="3385"/>
      <c r="L93" s="3385"/>
      <c r="M93" s="3385"/>
      <c r="N93" s="3386"/>
      <c r="O93" s="2620" t="s">
        <v>1899</v>
      </c>
      <c r="P93" s="2620"/>
      <c r="Q93" s="3384" t="s">
        <v>6849</v>
      </c>
      <c r="R93" s="3385"/>
      <c r="S93" s="3386"/>
      <c r="Z93" s="1773">
        <v>93</v>
      </c>
    </row>
    <row r="94" spans="2:26" s="289" customFormat="1" ht="11.25" customHeight="1">
      <c r="D94" s="326"/>
      <c r="E94" s="2618" t="s">
        <v>982</v>
      </c>
      <c r="F94" s="301"/>
      <c r="H94" s="3147" t="s">
        <v>6852</v>
      </c>
      <c r="I94" s="3388"/>
      <c r="J94" s="3388"/>
      <c r="K94" s="3389"/>
      <c r="L94" s="3388"/>
      <c r="M94" s="3388"/>
      <c r="N94" s="3390"/>
      <c r="O94" s="2620" t="s">
        <v>1668</v>
      </c>
      <c r="Q94" s="3169" t="s">
        <v>6869</v>
      </c>
      <c r="R94" s="3249"/>
      <c r="S94" s="3250"/>
      <c r="Z94" s="1773">
        <v>94</v>
      </c>
    </row>
    <row r="95" spans="2:26" s="289" customFormat="1" ht="11.25" customHeight="1">
      <c r="D95" s="326"/>
      <c r="E95" s="2618" t="s">
        <v>588</v>
      </c>
      <c r="H95" s="3147" t="s">
        <v>1159</v>
      </c>
      <c r="I95" s="3389"/>
      <c r="J95" s="3262"/>
      <c r="K95" s="2635" t="s">
        <v>2553</v>
      </c>
      <c r="L95" s="3147" t="s">
        <v>6855</v>
      </c>
      <c r="M95" s="3388"/>
      <c r="N95" s="3262"/>
      <c r="O95" s="2620" t="s">
        <v>1644</v>
      </c>
      <c r="Q95" s="3360">
        <v>7706350157</v>
      </c>
      <c r="R95" s="3361"/>
      <c r="S95" s="3362"/>
      <c r="Z95" s="1773">
        <v>95</v>
      </c>
    </row>
    <row r="96" spans="2:26" s="289" customFormat="1" ht="11.25" customHeight="1">
      <c r="D96" s="326"/>
      <c r="E96" s="2618" t="s">
        <v>1717</v>
      </c>
      <c r="H96" s="2694" t="s">
        <v>815</v>
      </c>
      <c r="K96" s="916" t="s">
        <v>2128</v>
      </c>
      <c r="L96" s="3157">
        <v>303395704</v>
      </c>
      <c r="M96" s="3391"/>
      <c r="O96" s="2620" t="s">
        <v>1889</v>
      </c>
      <c r="Q96" s="3360">
        <v>4042340004</v>
      </c>
      <c r="R96" s="3361"/>
      <c r="S96" s="3362"/>
      <c r="Z96" s="1773">
        <v>96</v>
      </c>
    </row>
    <row r="97" spans="2:26" s="289" customFormat="1" ht="11.25" customHeight="1">
      <c r="D97" s="326"/>
      <c r="E97" s="2618" t="s">
        <v>3614</v>
      </c>
      <c r="H97" s="3382">
        <v>7709842100</v>
      </c>
      <c r="I97" s="3387"/>
      <c r="J97" s="2756">
        <v>107</v>
      </c>
      <c r="K97" s="2629" t="s">
        <v>1894</v>
      </c>
      <c r="L97" s="3367" t="s">
        <v>6851</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4" t="s">
        <v>6870</v>
      </c>
      <c r="I99" s="3385"/>
      <c r="J99" s="3385"/>
      <c r="K99" s="3385"/>
      <c r="L99" s="3385"/>
      <c r="M99" s="3385"/>
      <c r="N99" s="3386"/>
      <c r="O99" s="2620" t="s">
        <v>1899</v>
      </c>
      <c r="P99" s="2620"/>
      <c r="Q99" s="3384" t="s">
        <v>6871</v>
      </c>
      <c r="R99" s="3385"/>
      <c r="S99" s="3386"/>
      <c r="Z99" s="1773">
        <v>99</v>
      </c>
    </row>
    <row r="100" spans="2:26" s="289" customFormat="1" ht="11.25" customHeight="1">
      <c r="D100" s="326"/>
      <c r="E100" s="2618" t="s">
        <v>982</v>
      </c>
      <c r="F100" s="301"/>
      <c r="H100" s="3147" t="s">
        <v>6872</v>
      </c>
      <c r="I100" s="3388"/>
      <c r="J100" s="3388"/>
      <c r="K100" s="3389"/>
      <c r="L100" s="3388"/>
      <c r="M100" s="3388"/>
      <c r="N100" s="3390"/>
      <c r="O100" s="2620" t="s">
        <v>1668</v>
      </c>
      <c r="Q100" s="3169" t="s">
        <v>6873</v>
      </c>
      <c r="R100" s="3249"/>
      <c r="S100" s="3250"/>
      <c r="Z100" s="1773">
        <v>100</v>
      </c>
    </row>
    <row r="101" spans="2:26" s="289" customFormat="1" ht="11.25" customHeight="1">
      <c r="D101" s="326"/>
      <c r="E101" s="2618" t="s">
        <v>588</v>
      </c>
      <c r="H101" s="3147" t="s">
        <v>1620</v>
      </c>
      <c r="I101" s="3389"/>
      <c r="J101" s="3262"/>
      <c r="K101" s="2635" t="s">
        <v>2553</v>
      </c>
      <c r="L101" s="3147" t="s">
        <v>6874</v>
      </c>
      <c r="M101" s="3388"/>
      <c r="N101" s="3262"/>
      <c r="O101" s="2620" t="s">
        <v>1644</v>
      </c>
      <c r="Q101" s="3360">
        <v>2058221010</v>
      </c>
      <c r="R101" s="3361"/>
      <c r="S101" s="3362"/>
      <c r="Z101" s="1773">
        <v>101</v>
      </c>
    </row>
    <row r="102" spans="2:26" s="289" customFormat="1" ht="11.25" customHeight="1">
      <c r="D102" s="326"/>
      <c r="E102" s="2618" t="s">
        <v>1717</v>
      </c>
      <c r="H102" s="2694" t="s">
        <v>815</v>
      </c>
      <c r="K102" s="916" t="s">
        <v>2128</v>
      </c>
      <c r="L102" s="3157">
        <v>316015601</v>
      </c>
      <c r="M102" s="3391"/>
      <c r="O102" s="2620" t="s">
        <v>1889</v>
      </c>
      <c r="Q102" s="3360">
        <v>2298349704</v>
      </c>
      <c r="R102" s="3361"/>
      <c r="S102" s="3362"/>
      <c r="Z102" s="1773">
        <v>102</v>
      </c>
    </row>
    <row r="103" spans="2:26" ht="11.25" customHeight="1">
      <c r="E103" s="2618" t="s">
        <v>3614</v>
      </c>
      <c r="F103" s="289"/>
      <c r="G103" s="289"/>
      <c r="H103" s="3382">
        <v>2298349704</v>
      </c>
      <c r="I103" s="3387"/>
      <c r="J103" s="2756"/>
      <c r="K103" s="2629" t="s">
        <v>1894</v>
      </c>
      <c r="L103" s="3367" t="s">
        <v>6875</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6876</v>
      </c>
      <c r="I105" s="3385"/>
      <c r="J105" s="3385"/>
      <c r="K105" s="3385"/>
      <c r="L105" s="3385"/>
      <c r="M105" s="3385"/>
      <c r="N105" s="3386"/>
      <c r="O105" s="2620" t="s">
        <v>1899</v>
      </c>
      <c r="P105" s="2620"/>
      <c r="Q105" s="3384" t="s">
        <v>6877</v>
      </c>
      <c r="R105" s="3385"/>
      <c r="S105" s="3386"/>
      <c r="Z105" s="1773">
        <v>105</v>
      </c>
    </row>
    <row r="106" spans="2:26" s="289" customFormat="1" ht="11.25" customHeight="1">
      <c r="D106" s="326"/>
      <c r="E106" s="2618" t="s">
        <v>982</v>
      </c>
      <c r="F106" s="301"/>
      <c r="H106" s="3147" t="s">
        <v>6878</v>
      </c>
      <c r="I106" s="3388"/>
      <c r="J106" s="3388"/>
      <c r="K106" s="3389"/>
      <c r="L106" s="3388"/>
      <c r="M106" s="3388"/>
      <c r="N106" s="3390"/>
      <c r="O106" s="2620" t="s">
        <v>1668</v>
      </c>
      <c r="Q106" s="3169" t="s">
        <v>6879</v>
      </c>
      <c r="R106" s="3249"/>
      <c r="S106" s="3250"/>
      <c r="Z106" s="1773">
        <v>106</v>
      </c>
    </row>
    <row r="107" spans="2:26" s="289" customFormat="1" ht="11.25" customHeight="1">
      <c r="D107" s="326"/>
      <c r="E107" s="2618" t="s">
        <v>588</v>
      </c>
      <c r="H107" s="3147" t="s">
        <v>6880</v>
      </c>
      <c r="I107" s="3389"/>
      <c r="J107" s="3262"/>
      <c r="K107" s="2635" t="s">
        <v>2553</v>
      </c>
      <c r="L107" s="3147" t="s">
        <v>6881</v>
      </c>
      <c r="M107" s="3388"/>
      <c r="N107" s="3262"/>
      <c r="O107" s="2620" t="s">
        <v>1644</v>
      </c>
      <c r="Q107" s="3360">
        <v>2058221010</v>
      </c>
      <c r="R107" s="3361"/>
      <c r="S107" s="3362"/>
      <c r="Z107" s="1773">
        <v>107</v>
      </c>
    </row>
    <row r="108" spans="2:26" s="289" customFormat="1" ht="11.25" customHeight="1">
      <c r="D108" s="326"/>
      <c r="E108" s="2618" t="s">
        <v>1717</v>
      </c>
      <c r="H108" s="2694" t="s">
        <v>805</v>
      </c>
      <c r="K108" s="916" t="s">
        <v>2128</v>
      </c>
      <c r="L108" s="3157">
        <v>352034803</v>
      </c>
      <c r="M108" s="3391"/>
      <c r="O108" s="2620" t="s">
        <v>1889</v>
      </c>
      <c r="Q108" s="3360">
        <v>2057900277</v>
      </c>
      <c r="R108" s="3361"/>
      <c r="S108" s="3362"/>
      <c r="Z108" s="1773">
        <v>108</v>
      </c>
    </row>
    <row r="109" spans="2:26" ht="11.25" customHeight="1">
      <c r="E109" s="2618" t="s">
        <v>3614</v>
      </c>
      <c r="F109" s="289"/>
      <c r="G109" s="289"/>
      <c r="H109" s="3382">
        <v>2058221010</v>
      </c>
      <c r="I109" s="3387"/>
      <c r="J109" s="2756"/>
      <c r="K109" s="2629" t="s">
        <v>1894</v>
      </c>
      <c r="L109" s="3367" t="s">
        <v>6882</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6883</v>
      </c>
      <c r="I111" s="3385"/>
      <c r="J111" s="3385"/>
      <c r="K111" s="3385"/>
      <c r="L111" s="3385"/>
      <c r="M111" s="3385"/>
      <c r="N111" s="3386"/>
      <c r="O111" s="2620" t="s">
        <v>1899</v>
      </c>
      <c r="P111" s="2620"/>
      <c r="Q111" s="3384" t="s">
        <v>6884</v>
      </c>
      <c r="R111" s="3385"/>
      <c r="S111" s="3386"/>
      <c r="Z111" s="1773">
        <v>111</v>
      </c>
    </row>
    <row r="112" spans="2:26" s="289" customFormat="1" ht="11.25" customHeight="1">
      <c r="D112" s="326"/>
      <c r="E112" s="2618" t="s">
        <v>982</v>
      </c>
      <c r="F112" s="301"/>
      <c r="H112" s="3147" t="s">
        <v>6885</v>
      </c>
      <c r="I112" s="3388"/>
      <c r="J112" s="3388"/>
      <c r="K112" s="3389"/>
      <c r="L112" s="3388"/>
      <c r="M112" s="3388"/>
      <c r="N112" s="3390"/>
      <c r="O112" s="2620" t="s">
        <v>1668</v>
      </c>
      <c r="Q112" s="3169" t="s">
        <v>6879</v>
      </c>
      <c r="R112" s="3249"/>
      <c r="S112" s="3250"/>
      <c r="Z112" s="1773">
        <v>112</v>
      </c>
    </row>
    <row r="113" spans="1:26" s="289" customFormat="1" ht="11.25" customHeight="1">
      <c r="D113" s="326"/>
      <c r="E113" s="2618" t="s">
        <v>588</v>
      </c>
      <c r="H113" s="3147" t="s">
        <v>1620</v>
      </c>
      <c r="I113" s="3389"/>
      <c r="J113" s="3262"/>
      <c r="K113" s="2635" t="s">
        <v>2553</v>
      </c>
      <c r="L113" s="3147" t="s">
        <v>6886</v>
      </c>
      <c r="M113" s="3388"/>
      <c r="N113" s="3262"/>
      <c r="O113" s="2620" t="s">
        <v>1644</v>
      </c>
      <c r="Q113" s="3360">
        <v>2292441188</v>
      </c>
      <c r="R113" s="3361"/>
      <c r="S113" s="3362"/>
      <c r="Z113" s="1773">
        <v>113</v>
      </c>
    </row>
    <row r="114" spans="1:26" s="289" customFormat="1" ht="11.25" customHeight="1">
      <c r="D114" s="330"/>
      <c r="E114" s="2618" t="s">
        <v>1717</v>
      </c>
      <c r="H114" s="2694" t="s">
        <v>815</v>
      </c>
      <c r="K114" s="916" t="s">
        <v>2128</v>
      </c>
      <c r="L114" s="3157">
        <v>316021770</v>
      </c>
      <c r="M114" s="3391"/>
      <c r="O114" s="2620" t="s">
        <v>1889</v>
      </c>
      <c r="Q114" s="3360">
        <v>2292441188</v>
      </c>
      <c r="R114" s="3361"/>
      <c r="S114" s="3362"/>
      <c r="Z114" s="1773">
        <v>114</v>
      </c>
    </row>
    <row r="115" spans="1:26" s="289" customFormat="1" ht="11.25" customHeight="1">
      <c r="D115" s="330"/>
      <c r="E115" s="2618" t="s">
        <v>3614</v>
      </c>
      <c r="H115" s="3382">
        <v>2292441188</v>
      </c>
      <c r="I115" s="3387"/>
      <c r="J115" s="2756"/>
      <c r="K115" s="2629" t="s">
        <v>1894</v>
      </c>
      <c r="L115" s="3367" t="s">
        <v>6887</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6779</v>
      </c>
      <c r="H120" s="3384" t="s">
        <v>6894</v>
      </c>
      <c r="I120" s="3405"/>
      <c r="J120" s="3406"/>
      <c r="K120" s="2629" t="s">
        <v>1716</v>
      </c>
      <c r="L120" s="3384" t="s">
        <v>6895</v>
      </c>
      <c r="M120" s="3385"/>
      <c r="N120" s="3386"/>
      <c r="O120" s="2618" t="s">
        <v>3262</v>
      </c>
      <c r="Q120" s="3398">
        <v>4045977559</v>
      </c>
      <c r="R120" s="3399"/>
      <c r="S120" s="3400"/>
      <c r="Z120" s="1773">
        <v>120</v>
      </c>
    </row>
    <row r="121" spans="1:26" s="289" customFormat="1" ht="11.25" customHeight="1">
      <c r="C121" s="291"/>
      <c r="D121" s="326"/>
      <c r="E121" s="2618" t="s">
        <v>6486</v>
      </c>
      <c r="F121" s="301"/>
      <c r="H121" s="3251" t="s">
        <v>6896</v>
      </c>
      <c r="I121" s="3401"/>
      <c r="J121" s="3402"/>
      <c r="K121" s="3252"/>
      <c r="L121" s="3401"/>
      <c r="M121" s="3401"/>
      <c r="N121" s="3403"/>
      <c r="O121" s="2618" t="s">
        <v>588</v>
      </c>
      <c r="Q121" s="3404" t="s">
        <v>520</v>
      </c>
      <c r="R121" s="3255"/>
      <c r="S121" s="3256"/>
      <c r="Z121" s="1773">
        <v>121</v>
      </c>
    </row>
    <row r="122" spans="1:26" s="289" customFormat="1" ht="11.25" customHeight="1">
      <c r="C122" s="291"/>
      <c r="D122" s="326"/>
      <c r="E122" s="2618" t="s">
        <v>1717</v>
      </c>
      <c r="H122" s="2761" t="s">
        <v>815</v>
      </c>
      <c r="I122" s="916" t="s">
        <v>2128</v>
      </c>
      <c r="J122" s="3261">
        <v>300409475</v>
      </c>
      <c r="K122" s="3262"/>
      <c r="L122" s="2629" t="s">
        <v>1894</v>
      </c>
      <c r="M122" s="3178" t="s">
        <v>6897</v>
      </c>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6780</v>
      </c>
      <c r="H124" s="3384"/>
      <c r="I124" s="3405"/>
      <c r="J124" s="3406"/>
      <c r="K124" s="2629" t="s">
        <v>1716</v>
      </c>
      <c r="L124" s="3384"/>
      <c r="M124" s="3385"/>
      <c r="N124" s="3386"/>
      <c r="O124" s="2618" t="s">
        <v>3262</v>
      </c>
      <c r="Q124" s="3398"/>
      <c r="R124" s="3399"/>
      <c r="S124" s="3400"/>
      <c r="Z124" s="1773">
        <v>124</v>
      </c>
    </row>
    <row r="125" spans="1:26" s="289" customFormat="1" ht="11.25" hidden="1" customHeight="1">
      <c r="C125" s="291"/>
      <c r="D125" s="326"/>
      <c r="E125" s="2618" t="s">
        <v>6486</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2128</v>
      </c>
      <c r="J126" s="3261"/>
      <c r="K126" s="3262"/>
      <c r="L126" s="2629" t="s">
        <v>1894</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6613</v>
      </c>
      <c r="H128" s="3384"/>
      <c r="I128" s="3405"/>
      <c r="J128" s="3406"/>
      <c r="K128" s="2629" t="s">
        <v>1716</v>
      </c>
      <c r="L128" s="3384"/>
      <c r="M128" s="3385"/>
      <c r="N128" s="3386"/>
      <c r="O128" s="2618" t="s">
        <v>3262</v>
      </c>
      <c r="Q128" s="3398"/>
      <c r="R128" s="3399"/>
      <c r="S128" s="3400"/>
      <c r="Z128" s="1773">
        <v>128</v>
      </c>
    </row>
    <row r="129" spans="3:26" s="289" customFormat="1" ht="11.25" hidden="1" customHeight="1">
      <c r="C129" s="291"/>
      <c r="D129" s="326"/>
      <c r="E129" s="2618" t="s">
        <v>6486</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2128</v>
      </c>
      <c r="J130" s="3261"/>
      <c r="K130" s="3262"/>
      <c r="L130" s="2629" t="s">
        <v>1894</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6790</v>
      </c>
      <c r="H132" s="3384"/>
      <c r="I132" s="3405"/>
      <c r="J132" s="3406"/>
      <c r="K132" s="2629" t="s">
        <v>1716</v>
      </c>
      <c r="L132" s="3384"/>
      <c r="M132" s="3385"/>
      <c r="N132" s="3386"/>
      <c r="O132" s="2618" t="s">
        <v>3262</v>
      </c>
      <c r="Q132" s="3398"/>
      <c r="R132" s="3399"/>
      <c r="S132" s="3400"/>
      <c r="Z132" s="1773">
        <v>132</v>
      </c>
    </row>
    <row r="133" spans="3:26" s="289" customFormat="1" ht="11.25" hidden="1" customHeight="1">
      <c r="C133" s="291"/>
      <c r="D133" s="326"/>
      <c r="E133" s="2618" t="s">
        <v>6486</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2128</v>
      </c>
      <c r="J134" s="3261"/>
      <c r="K134" s="3262"/>
      <c r="L134" s="2629" t="s">
        <v>1894</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6791</v>
      </c>
      <c r="H136" s="3384"/>
      <c r="I136" s="3405"/>
      <c r="J136" s="3406"/>
      <c r="K136" s="2629" t="s">
        <v>1716</v>
      </c>
      <c r="L136" s="3384"/>
      <c r="M136" s="3385"/>
      <c r="N136" s="3386"/>
      <c r="O136" s="2618" t="s">
        <v>3262</v>
      </c>
      <c r="Q136" s="3398"/>
      <c r="R136" s="3399"/>
      <c r="S136" s="3400"/>
      <c r="Z136" s="1773">
        <v>136</v>
      </c>
    </row>
    <row r="137" spans="3:26" s="289" customFormat="1" ht="11.25" hidden="1" customHeight="1">
      <c r="C137" s="291"/>
      <c r="D137" s="326"/>
      <c r="E137" s="2618" t="s">
        <v>6486</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2128</v>
      </c>
      <c r="J138" s="3261"/>
      <c r="K138" s="3262"/>
      <c r="L138" s="2629" t="s">
        <v>1894</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6792</v>
      </c>
      <c r="H140" s="3384"/>
      <c r="I140" s="3405"/>
      <c r="J140" s="3406"/>
      <c r="K140" s="2629" t="s">
        <v>1716</v>
      </c>
      <c r="L140" s="3384"/>
      <c r="M140" s="3385"/>
      <c r="N140" s="3386"/>
      <c r="O140" s="2618" t="s">
        <v>3262</v>
      </c>
      <c r="Q140" s="3398"/>
      <c r="R140" s="3399"/>
      <c r="S140" s="3400"/>
      <c r="Z140" s="1773">
        <v>140</v>
      </c>
    </row>
    <row r="141" spans="3:26" s="289" customFormat="1" ht="11.25" hidden="1" customHeight="1">
      <c r="C141" s="291"/>
      <c r="D141" s="326"/>
      <c r="E141" s="2618" t="s">
        <v>6486</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2128</v>
      </c>
      <c r="J142" s="3261"/>
      <c r="K142" s="3262"/>
      <c r="L142" s="2629" t="s">
        <v>1894</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1898</v>
      </c>
      <c r="D144" s="289" t="s">
        <v>6777</v>
      </c>
      <c r="H144" s="3384"/>
      <c r="I144" s="3405"/>
      <c r="J144" s="3406"/>
      <c r="K144" s="2629" t="s">
        <v>1716</v>
      </c>
      <c r="L144" s="3384"/>
      <c r="M144" s="3385"/>
      <c r="N144" s="3386"/>
      <c r="O144" s="2618" t="s">
        <v>3262</v>
      </c>
      <c r="Q144" s="3398"/>
      <c r="R144" s="3399"/>
      <c r="S144" s="3400"/>
      <c r="Z144" s="1773">
        <v>144</v>
      </c>
    </row>
    <row r="145" spans="1:26" s="289" customFormat="1" ht="11.25" customHeight="1">
      <c r="C145" s="291"/>
      <c r="D145" s="326"/>
      <c r="E145" s="2618" t="s">
        <v>6486</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2128</v>
      </c>
      <c r="J146" s="3261"/>
      <c r="K146" s="3262"/>
      <c r="L146" s="2629" t="s">
        <v>1894</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2416</v>
      </c>
      <c r="D148" s="289" t="s">
        <v>6778</v>
      </c>
      <c r="H148" s="3384"/>
      <c r="I148" s="3405"/>
      <c r="J148" s="3406"/>
      <c r="K148" s="2629" t="s">
        <v>1716</v>
      </c>
      <c r="L148" s="3384"/>
      <c r="M148" s="3385"/>
      <c r="N148" s="3386"/>
      <c r="O148" s="2618" t="s">
        <v>3262</v>
      </c>
      <c r="Q148" s="3398"/>
      <c r="R148" s="3399"/>
      <c r="S148" s="3400"/>
      <c r="Z148" s="1773">
        <v>148</v>
      </c>
    </row>
    <row r="149" spans="1:26" s="289" customFormat="1" ht="11.25" customHeight="1">
      <c r="D149" s="326"/>
      <c r="E149" s="2618" t="s">
        <v>6486</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2128</v>
      </c>
      <c r="J150" s="3261"/>
      <c r="K150" s="3262"/>
      <c r="L150" s="2629" t="s">
        <v>1894</v>
      </c>
      <c r="M150" s="3178"/>
      <c r="N150" s="3179"/>
      <c r="O150" s="3179"/>
      <c r="P150" s="3179"/>
      <c r="Q150" s="3259"/>
      <c r="R150" s="3259"/>
      <c r="S150" s="3260"/>
      <c r="Z150" s="1773">
        <v>150</v>
      </c>
    </row>
    <row r="151" spans="1:26" ht="6" customHeight="1">
      <c r="Z151" s="1773">
        <v>151</v>
      </c>
    </row>
    <row r="152" spans="1:26" ht="12" customHeight="1">
      <c r="B152" s="291" t="s">
        <v>1895</v>
      </c>
      <c r="C152" s="291" t="s">
        <v>4062</v>
      </c>
      <c r="H152" s="1296"/>
      <c r="I152" s="1296"/>
      <c r="J152" s="1296"/>
      <c r="K152" s="1296"/>
      <c r="L152" s="1296"/>
      <c r="M152" s="1296"/>
      <c r="N152" s="1296"/>
      <c r="O152" s="1296"/>
      <c r="P152" s="1296"/>
      <c r="Q152" s="1296"/>
      <c r="R152" s="1296"/>
      <c r="S152" s="1296"/>
      <c r="Z152" s="1773">
        <v>152</v>
      </c>
    </row>
    <row r="153" spans="1:26" ht="13.5" thickBot="1">
      <c r="A153" s="3464" t="s">
        <v>3436</v>
      </c>
      <c r="B153" s="3464"/>
      <c r="C153" s="3464"/>
      <c r="D153" s="3464"/>
      <c r="E153" s="3464"/>
      <c r="H153" s="2762" t="s">
        <v>2392</v>
      </c>
      <c r="I153" s="3458" t="s">
        <v>6793</v>
      </c>
      <c r="J153" s="3459"/>
      <c r="K153" s="3459"/>
      <c r="L153" s="3459"/>
      <c r="M153" s="3459"/>
      <c r="N153" s="3459"/>
      <c r="O153" s="3459"/>
      <c r="P153" s="3459"/>
      <c r="Q153" s="3459"/>
      <c r="R153" s="3459"/>
      <c r="S153" s="3460"/>
      <c r="Z153" s="1773">
        <v>153</v>
      </c>
    </row>
    <row r="154" spans="1:26" s="289" customFormat="1" ht="15" customHeight="1" thickBot="1">
      <c r="B154" s="1751" t="s">
        <v>1896</v>
      </c>
      <c r="C154" s="320" t="s">
        <v>2631</v>
      </c>
      <c r="E154" s="320"/>
      <c r="H154" s="2763" t="s">
        <v>2772</v>
      </c>
      <c r="I154" s="3374"/>
      <c r="J154" s="3375"/>
      <c r="K154" s="3375"/>
      <c r="L154" s="3375"/>
      <c r="M154" s="3375"/>
      <c r="N154" s="3375"/>
      <c r="O154" s="3375"/>
      <c r="P154" s="3375"/>
      <c r="Q154" s="3375"/>
      <c r="R154" s="3375"/>
      <c r="S154" s="3376"/>
      <c r="U154" s="3377" t="s">
        <v>1940</v>
      </c>
      <c r="V154" s="3377"/>
      <c r="Z154" s="1773">
        <v>154</v>
      </c>
    </row>
    <row r="155" spans="1:26" s="289" customFormat="1" ht="18.95" customHeight="1" thickBot="1">
      <c r="B155" s="550" t="s">
        <v>1898</v>
      </c>
      <c r="C155" s="469" t="s">
        <v>6484</v>
      </c>
      <c r="E155" s="320"/>
      <c r="H155" s="2763" t="s">
        <v>2772</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2416</v>
      </c>
      <c r="C156" s="469" t="s">
        <v>2670</v>
      </c>
      <c r="E156" s="320"/>
      <c r="H156" s="2763" t="s">
        <v>2772</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2632</v>
      </c>
      <c r="E157" s="320"/>
      <c r="H157" s="2763" t="s">
        <v>2772</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3195</v>
      </c>
      <c r="E158" s="320"/>
      <c r="H158" s="2763" t="s">
        <v>2772</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1792</v>
      </c>
      <c r="C159" s="469" t="s">
        <v>3196</v>
      </c>
      <c r="E159" s="320"/>
      <c r="H159" s="2763" t="s">
        <v>2772</v>
      </c>
      <c r="I159" s="3371"/>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2633</v>
      </c>
      <c r="E160" s="320"/>
      <c r="H160" s="2763" t="s">
        <v>2772</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4073</v>
      </c>
      <c r="E161" s="320"/>
      <c r="H161" s="2763" t="s">
        <v>2772</v>
      </c>
      <c r="I161" s="3371"/>
      <c r="J161" s="3372"/>
      <c r="K161" s="3372"/>
      <c r="L161" s="3372"/>
      <c r="M161" s="3372"/>
      <c r="N161" s="3372"/>
      <c r="O161" s="3372"/>
      <c r="P161" s="3372"/>
      <c r="Q161" s="3372"/>
      <c r="R161" s="3372"/>
      <c r="S161" s="3373"/>
      <c r="Z161" s="1773">
        <v>161</v>
      </c>
    </row>
    <row r="162" spans="1:26" s="289" customFormat="1" ht="45.95" customHeight="1" thickBot="1">
      <c r="B162" s="550" t="s">
        <v>4072</v>
      </c>
      <c r="C162" s="3461" t="s">
        <v>6888</v>
      </c>
      <c r="D162" s="3462"/>
      <c r="E162" s="3462"/>
      <c r="F162" s="3462"/>
      <c r="G162" s="3463"/>
      <c r="H162" s="2763" t="s">
        <v>2769</v>
      </c>
      <c r="I162" s="3368" t="s">
        <v>6971</v>
      </c>
      <c r="J162" s="3369"/>
      <c r="K162" s="3369"/>
      <c r="L162" s="3369"/>
      <c r="M162" s="3369"/>
      <c r="N162" s="3369"/>
      <c r="O162" s="3369"/>
      <c r="P162" s="3369"/>
      <c r="Q162" s="3369"/>
      <c r="R162" s="3369"/>
      <c r="S162" s="337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4063</v>
      </c>
      <c r="Z165" s="1773">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6794</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3349</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2392</v>
      </c>
      <c r="J170" s="3441"/>
      <c r="K170" s="3444"/>
      <c r="L170" s="3443"/>
      <c r="M170" s="1301" t="s">
        <v>2392</v>
      </c>
      <c r="N170" s="3201" t="s">
        <v>2694</v>
      </c>
      <c r="O170" s="3201"/>
      <c r="P170" s="3201"/>
      <c r="Q170" s="3201"/>
      <c r="R170" s="3201"/>
      <c r="S170" s="3457"/>
      <c r="Z170" s="1773">
        <v>170</v>
      </c>
    </row>
    <row r="171" spans="1:26" s="289" customFormat="1" ht="61.5" customHeight="1">
      <c r="A171" s="3423" t="s">
        <v>3179</v>
      </c>
      <c r="B171" s="3424"/>
      <c r="C171" s="3424"/>
      <c r="D171" s="3425"/>
      <c r="E171" s="3426" t="s">
        <v>6893</v>
      </c>
      <c r="F171" s="3375"/>
      <c r="G171" s="3375"/>
      <c r="H171" s="3375"/>
      <c r="I171" s="2764" t="s">
        <v>2772</v>
      </c>
      <c r="J171" s="2765" t="s">
        <v>2772</v>
      </c>
      <c r="K171" s="2766" t="s">
        <v>6853</v>
      </c>
      <c r="L171" s="2767">
        <v>1E-4</v>
      </c>
      <c r="M171" s="2768" t="s">
        <v>2769</v>
      </c>
      <c r="N171" s="3427" t="s">
        <v>6889</v>
      </c>
      <c r="O171" s="3375"/>
      <c r="P171" s="3375"/>
      <c r="Q171" s="3375"/>
      <c r="R171" s="3375"/>
      <c r="S171" s="3376"/>
      <c r="Z171" s="1773">
        <v>171</v>
      </c>
    </row>
    <row r="172" spans="1:26" s="289" customFormat="1" ht="23.25" customHeight="1">
      <c r="A172" s="3418" t="s">
        <v>3180</v>
      </c>
      <c r="B172" s="3419"/>
      <c r="C172" s="3419"/>
      <c r="D172" s="3420"/>
      <c r="E172" s="3421"/>
      <c r="F172" s="3372"/>
      <c r="G172" s="3372"/>
      <c r="H172" s="3372"/>
      <c r="I172" s="2769" t="s">
        <v>4015</v>
      </c>
      <c r="J172" s="2770" t="s">
        <v>4015</v>
      </c>
      <c r="K172" s="2771"/>
      <c r="L172" s="2772"/>
      <c r="M172" s="2773" t="s">
        <v>4015</v>
      </c>
      <c r="N172" s="3422"/>
      <c r="O172" s="3372"/>
      <c r="P172" s="3372"/>
      <c r="Q172" s="3372"/>
      <c r="R172" s="3372"/>
      <c r="S172" s="3373"/>
      <c r="U172" s="3377" t="s">
        <v>1940</v>
      </c>
      <c r="V172" s="3377"/>
      <c r="Z172" s="1773">
        <v>172</v>
      </c>
    </row>
    <row r="173" spans="1:26" s="289" customFormat="1" ht="23.25" customHeight="1">
      <c r="A173" s="3418" t="s">
        <v>3181</v>
      </c>
      <c r="B173" s="3419"/>
      <c r="C173" s="3419"/>
      <c r="D173" s="3420"/>
      <c r="E173" s="3421"/>
      <c r="F173" s="3372"/>
      <c r="G173" s="3372"/>
      <c r="H173" s="3372"/>
      <c r="I173" s="2769" t="s">
        <v>4015</v>
      </c>
      <c r="J173" s="2770" t="s">
        <v>4015</v>
      </c>
      <c r="K173" s="2771"/>
      <c r="L173" s="2772"/>
      <c r="M173" s="2773" t="s">
        <v>4015</v>
      </c>
      <c r="N173" s="3422"/>
      <c r="O173" s="3372"/>
      <c r="P173" s="3372"/>
      <c r="Q173" s="3372"/>
      <c r="R173" s="3372"/>
      <c r="S173" s="3373"/>
      <c r="U173" s="3377"/>
      <c r="V173" s="3377"/>
      <c r="Z173" s="1773">
        <v>173</v>
      </c>
    </row>
    <row r="174" spans="1:26" s="289" customFormat="1" ht="23.25" customHeight="1">
      <c r="A174" s="3418" t="s">
        <v>3182</v>
      </c>
      <c r="B174" s="3419"/>
      <c r="C174" s="3419"/>
      <c r="D174" s="3420"/>
      <c r="E174" s="3421" t="s">
        <v>6856</v>
      </c>
      <c r="F174" s="3372"/>
      <c r="G174" s="3372"/>
      <c r="H174" s="3372"/>
      <c r="I174" s="2769" t="s">
        <v>2772</v>
      </c>
      <c r="J174" s="2770" t="s">
        <v>2772</v>
      </c>
      <c r="K174" s="2771" t="s">
        <v>6853</v>
      </c>
      <c r="L174" s="2772">
        <v>0.9899</v>
      </c>
      <c r="M174" s="2773" t="s">
        <v>2772</v>
      </c>
      <c r="N174" s="3422" t="s">
        <v>931</v>
      </c>
      <c r="O174" s="3372"/>
      <c r="P174" s="3372"/>
      <c r="Q174" s="3372"/>
      <c r="R174" s="3372"/>
      <c r="S174" s="3373"/>
      <c r="U174" s="3377"/>
      <c r="V174" s="3377"/>
      <c r="Z174" s="1773">
        <v>174</v>
      </c>
    </row>
    <row r="175" spans="1:26" s="289" customFormat="1" ht="23.25" customHeight="1">
      <c r="A175" s="3418" t="s">
        <v>3183</v>
      </c>
      <c r="B175" s="3419"/>
      <c r="C175" s="3419"/>
      <c r="D175" s="3420"/>
      <c r="E175" s="3421" t="s">
        <v>6856</v>
      </c>
      <c r="F175" s="3372"/>
      <c r="G175" s="3372"/>
      <c r="H175" s="3372"/>
      <c r="I175" s="2769" t="s">
        <v>2772</v>
      </c>
      <c r="J175" s="2770" t="s">
        <v>2772</v>
      </c>
      <c r="K175" s="2771" t="s">
        <v>6853</v>
      </c>
      <c r="L175" s="2772">
        <v>0.01</v>
      </c>
      <c r="M175" s="2773" t="s">
        <v>2772</v>
      </c>
      <c r="N175" s="3422" t="s">
        <v>931</v>
      </c>
      <c r="O175" s="3372"/>
      <c r="P175" s="3372"/>
      <c r="Q175" s="3372"/>
      <c r="R175" s="3372"/>
      <c r="S175" s="3373"/>
      <c r="U175" s="3377"/>
      <c r="V175" s="3377"/>
      <c r="Z175" s="1773">
        <v>175</v>
      </c>
    </row>
    <row r="176" spans="1:26" s="289" customFormat="1" ht="23.25" customHeight="1">
      <c r="A176" s="3418" t="s">
        <v>2684</v>
      </c>
      <c r="B176" s="3419"/>
      <c r="C176" s="3419"/>
      <c r="D176" s="3420"/>
      <c r="E176" s="3421"/>
      <c r="F176" s="3372"/>
      <c r="G176" s="3372"/>
      <c r="H176" s="3372"/>
      <c r="I176" s="2769" t="s">
        <v>4015</v>
      </c>
      <c r="J176" s="2770" t="s">
        <v>4015</v>
      </c>
      <c r="K176" s="2771"/>
      <c r="L176" s="2772"/>
      <c r="M176" s="2773" t="s">
        <v>4015</v>
      </c>
      <c r="N176" s="3422"/>
      <c r="O176" s="3372"/>
      <c r="P176" s="3372"/>
      <c r="Q176" s="3372"/>
      <c r="R176" s="3372"/>
      <c r="S176" s="3373"/>
      <c r="U176" s="3377"/>
      <c r="V176" s="3377"/>
      <c r="Z176" s="1773">
        <v>176</v>
      </c>
    </row>
    <row r="177" spans="1:26" s="289" customFormat="1" ht="65.099999999999994" customHeight="1">
      <c r="A177" s="3418" t="s">
        <v>623</v>
      </c>
      <c r="B177" s="3419"/>
      <c r="C177" s="3419"/>
      <c r="D177" s="3420"/>
      <c r="E177" s="3421" t="s">
        <v>6862</v>
      </c>
      <c r="F177" s="3372"/>
      <c r="G177" s="3372"/>
      <c r="H177" s="3372"/>
      <c r="I177" s="2769" t="s">
        <v>2772</v>
      </c>
      <c r="J177" s="2770" t="s">
        <v>2772</v>
      </c>
      <c r="K177" s="2771" t="s">
        <v>6853</v>
      </c>
      <c r="L177" s="2772"/>
      <c r="M177" s="2773" t="s">
        <v>2769</v>
      </c>
      <c r="N177" s="3422" t="s">
        <v>6889</v>
      </c>
      <c r="O177" s="3372"/>
      <c r="P177" s="3372"/>
      <c r="Q177" s="3372"/>
      <c r="R177" s="3372"/>
      <c r="S177" s="3373"/>
      <c r="U177" s="3377"/>
      <c r="V177" s="3377"/>
      <c r="Z177" s="1773">
        <v>177</v>
      </c>
    </row>
    <row r="178" spans="1:26" s="289" customFormat="1" ht="23.25" customHeight="1">
      <c r="A178" s="3418" t="s">
        <v>2685</v>
      </c>
      <c r="B178" s="3419"/>
      <c r="C178" s="3419"/>
      <c r="D178" s="3420"/>
      <c r="E178" s="3421"/>
      <c r="F178" s="3372"/>
      <c r="G178" s="3372"/>
      <c r="H178" s="3372"/>
      <c r="I178" s="2769" t="s">
        <v>4015</v>
      </c>
      <c r="J178" s="2770" t="s">
        <v>4015</v>
      </c>
      <c r="K178" s="2771"/>
      <c r="L178" s="2772"/>
      <c r="M178" s="2773" t="s">
        <v>4015</v>
      </c>
      <c r="N178" s="3422"/>
      <c r="O178" s="3372"/>
      <c r="P178" s="3372"/>
      <c r="Q178" s="3372"/>
      <c r="R178" s="3372"/>
      <c r="S178" s="3373"/>
      <c r="Z178" s="1773">
        <v>178</v>
      </c>
    </row>
    <row r="179" spans="1:26" s="289" customFormat="1" ht="23.25" customHeight="1">
      <c r="A179" s="3418" t="s">
        <v>2686</v>
      </c>
      <c r="B179" s="3419"/>
      <c r="C179" s="3419"/>
      <c r="D179" s="3420"/>
      <c r="E179" s="3421"/>
      <c r="F179" s="3372"/>
      <c r="G179" s="3372"/>
      <c r="H179" s="3372"/>
      <c r="I179" s="2769" t="s">
        <v>4015</v>
      </c>
      <c r="J179" s="2770" t="s">
        <v>4015</v>
      </c>
      <c r="K179" s="2771"/>
      <c r="L179" s="2772"/>
      <c r="M179" s="2773" t="s">
        <v>4015</v>
      </c>
      <c r="N179" s="3422"/>
      <c r="O179" s="3372"/>
      <c r="P179" s="3372"/>
      <c r="Q179" s="3372"/>
      <c r="R179" s="3372"/>
      <c r="S179" s="3373"/>
      <c r="Z179" s="1773">
        <v>179</v>
      </c>
    </row>
    <row r="180" spans="1:26" s="289" customFormat="1" ht="23.25" customHeight="1">
      <c r="A180" s="3418" t="s">
        <v>2688</v>
      </c>
      <c r="B180" s="3419"/>
      <c r="C180" s="3419"/>
      <c r="D180" s="3420"/>
      <c r="E180" s="3421"/>
      <c r="F180" s="3372"/>
      <c r="G180" s="3372"/>
      <c r="H180" s="3372"/>
      <c r="I180" s="2769" t="s">
        <v>4015</v>
      </c>
      <c r="J180" s="2770" t="s">
        <v>4015</v>
      </c>
      <c r="K180" s="2771"/>
      <c r="L180" s="2772"/>
      <c r="M180" s="2773" t="s">
        <v>4015</v>
      </c>
      <c r="N180" s="3422"/>
      <c r="O180" s="3372"/>
      <c r="P180" s="3372"/>
      <c r="Q180" s="3372"/>
      <c r="R180" s="3372"/>
      <c r="S180" s="3373"/>
      <c r="Z180" s="1773">
        <v>180</v>
      </c>
    </row>
    <row r="181" spans="1:26" s="289" customFormat="1" ht="23.25" customHeight="1">
      <c r="A181" s="3418" t="s">
        <v>2687</v>
      </c>
      <c r="B181" s="3419"/>
      <c r="C181" s="3419"/>
      <c r="D181" s="3420"/>
      <c r="E181" s="3421"/>
      <c r="F181" s="3372"/>
      <c r="G181" s="3372"/>
      <c r="H181" s="3372"/>
      <c r="I181" s="2769" t="s">
        <v>4015</v>
      </c>
      <c r="J181" s="2770" t="s">
        <v>4015</v>
      </c>
      <c r="K181" s="2771"/>
      <c r="L181" s="2772"/>
      <c r="M181" s="2773" t="s">
        <v>4015</v>
      </c>
      <c r="N181" s="3422"/>
      <c r="O181" s="3372"/>
      <c r="P181" s="3372"/>
      <c r="Q181" s="3372"/>
      <c r="R181" s="3372"/>
      <c r="S181" s="3373"/>
      <c r="Z181" s="1773">
        <v>181</v>
      </c>
    </row>
    <row r="182" spans="1:26" s="289" customFormat="1" ht="23.25" customHeight="1">
      <c r="A182" s="3418" t="s">
        <v>1468</v>
      </c>
      <c r="B182" s="3419"/>
      <c r="C182" s="3419"/>
      <c r="D182" s="3420"/>
      <c r="E182" s="3421" t="s">
        <v>6863</v>
      </c>
      <c r="F182" s="3372"/>
      <c r="G182" s="3372"/>
      <c r="H182" s="3372"/>
      <c r="I182" s="2769" t="s">
        <v>2772</v>
      </c>
      <c r="J182" s="2770" t="s">
        <v>2772</v>
      </c>
      <c r="K182" s="2771" t="s">
        <v>6853</v>
      </c>
      <c r="L182" s="2772"/>
      <c r="M182" s="2773" t="s">
        <v>2772</v>
      </c>
      <c r="N182" s="3422" t="s">
        <v>931</v>
      </c>
      <c r="O182" s="3372"/>
      <c r="P182" s="3372"/>
      <c r="Q182" s="3372"/>
      <c r="R182" s="3372"/>
      <c r="S182" s="3373"/>
      <c r="Z182" s="1773">
        <v>182</v>
      </c>
    </row>
    <row r="183" spans="1:26" s="289" customFormat="1" ht="46.5" customHeight="1">
      <c r="A183" s="3407" t="s">
        <v>2689</v>
      </c>
      <c r="B183" s="3408"/>
      <c r="C183" s="3408"/>
      <c r="D183" s="3409"/>
      <c r="E183" s="3410" t="s">
        <v>6890</v>
      </c>
      <c r="F183" s="3369"/>
      <c r="G183" s="3369"/>
      <c r="H183" s="3369"/>
      <c r="I183" s="2774" t="s">
        <v>2772</v>
      </c>
      <c r="J183" s="2775" t="s">
        <v>2772</v>
      </c>
      <c r="K183" s="2776" t="s">
        <v>6853</v>
      </c>
      <c r="L183" s="2777"/>
      <c r="M183" s="2778" t="s">
        <v>2772</v>
      </c>
      <c r="N183" s="3411" t="s">
        <v>6891</v>
      </c>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6972</v>
      </c>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wsA/ByjOnx71LfKkGzJpeICQ/7tykSlv8+1x2BTwAQvuxH4Lt193BcAbEGwWlRS2ZIuCw52eivmg//5Axtf1kA==" saltValue="1zbezdWDoaeC1gsS7jbknA=="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6618</v>
      </c>
      <c r="C1" s="1809"/>
      <c r="D1" s="1809"/>
      <c r="E1" s="1809" t="s">
        <v>6637</v>
      </c>
      <c r="F1" s="1809"/>
      <c r="G1" s="2781"/>
      <c r="H1" s="2781" t="s">
        <v>6638</v>
      </c>
      <c r="I1" s="2781" t="s">
        <v>6639</v>
      </c>
      <c r="J1" s="2781"/>
      <c r="K1" s="2781" t="s">
        <v>6640</v>
      </c>
      <c r="L1" s="2781" t="s">
        <v>6641</v>
      </c>
      <c r="M1" s="1806" t="s">
        <v>6642</v>
      </c>
      <c r="N1" s="1806" t="s">
        <v>6643</v>
      </c>
      <c r="P1" s="1806" t="s">
        <v>6644</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2021-006 Wagon Works, East Point, Fulton County</v>
      </c>
      <c r="B2" s="3393"/>
      <c r="C2" s="3393"/>
      <c r="D2" s="3393"/>
      <c r="E2" s="3393"/>
      <c r="F2" s="3393"/>
      <c r="G2" s="3393"/>
      <c r="H2" s="3393"/>
      <c r="I2" s="3393"/>
      <c r="J2" s="3393"/>
      <c r="K2" s="3393"/>
      <c r="L2" s="3393"/>
      <c r="M2" s="3393"/>
      <c r="N2" s="3393"/>
      <c r="O2" s="3393"/>
      <c r="P2" s="3393"/>
      <c r="Q2" s="3394"/>
      <c r="S2" s="3478" t="str">
        <f>$A$2</f>
        <v>PART THREE - SOURCES OF FUNDS (Proposed)  -  2021-006 Wagon Works, East Point, Fulton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2537</v>
      </c>
      <c r="T5" s="3479"/>
      <c r="Y5" s="1807"/>
      <c r="Z5" s="1773">
        <v>5</v>
      </c>
      <c r="AZ5" s="2782"/>
    </row>
    <row r="6" spans="1:52" s="265" customFormat="1" ht="16.5" customHeight="1">
      <c r="A6" s="1711"/>
      <c r="B6" s="2692" t="s">
        <v>2769</v>
      </c>
      <c r="C6" s="266" t="s">
        <v>2300</v>
      </c>
      <c r="D6" s="289"/>
      <c r="E6" s="2692" t="s">
        <v>2772</v>
      </c>
      <c r="F6" s="266" t="s">
        <v>6289</v>
      </c>
      <c r="G6" s="289"/>
      <c r="I6" s="3489"/>
      <c r="J6" s="3490"/>
      <c r="L6" s="2692" t="s">
        <v>2772</v>
      </c>
      <c r="M6" s="266" t="s">
        <v>1475</v>
      </c>
      <c r="Q6" s="1692"/>
      <c r="S6" s="3480"/>
      <c r="T6" s="3481"/>
      <c r="Y6" s="1807"/>
      <c r="Z6" s="1773">
        <v>6</v>
      </c>
      <c r="AZ6" s="2782"/>
    </row>
    <row r="7" spans="1:52" s="265" customFormat="1" ht="16.5" customHeight="1">
      <c r="A7" s="1711"/>
      <c r="B7" s="2680" t="s">
        <v>2769</v>
      </c>
      <c r="C7" s="266" t="s">
        <v>4058</v>
      </c>
      <c r="D7" s="289"/>
      <c r="E7" s="2693" t="s">
        <v>2772</v>
      </c>
      <c r="F7" s="266" t="s">
        <v>6290</v>
      </c>
      <c r="I7" s="3491"/>
      <c r="J7" s="3492"/>
      <c r="L7" s="2680" t="s">
        <v>2772</v>
      </c>
      <c r="M7" s="266" t="s">
        <v>523</v>
      </c>
      <c r="P7" s="1692"/>
      <c r="Q7" s="1692"/>
      <c r="S7" s="3482"/>
      <c r="T7" s="3483"/>
      <c r="Y7" s="1807"/>
      <c r="Z7" s="1773">
        <v>7</v>
      </c>
      <c r="AZ7" s="2782"/>
    </row>
    <row r="8" spans="1:52" s="265" customFormat="1" ht="16.5" customHeight="1">
      <c r="A8" s="289"/>
      <c r="B8" s="2680" t="s">
        <v>2772</v>
      </c>
      <c r="C8" s="266" t="s">
        <v>524</v>
      </c>
      <c r="F8" s="265" t="s">
        <v>6291</v>
      </c>
      <c r="H8" s="3486" t="s">
        <v>3186</v>
      </c>
      <c r="I8" s="3487"/>
      <c r="J8" s="3488"/>
      <c r="L8" s="2680" t="s">
        <v>2772</v>
      </c>
      <c r="M8" s="284" t="s">
        <v>3276</v>
      </c>
      <c r="P8" s="1692"/>
      <c r="Q8" s="1692"/>
      <c r="S8" s="3482"/>
      <c r="T8" s="3483"/>
      <c r="Y8" s="1807"/>
      <c r="Z8" s="1773">
        <v>8</v>
      </c>
      <c r="AZ8" s="2782"/>
    </row>
    <row r="9" spans="1:52" s="265" customFormat="1" ht="16.5" customHeight="1">
      <c r="A9" s="1711"/>
      <c r="B9" s="2680" t="s">
        <v>2772</v>
      </c>
      <c r="C9" s="265" t="s">
        <v>3440</v>
      </c>
      <c r="E9" s="2783" t="s">
        <v>2772</v>
      </c>
      <c r="F9" s="3493" t="s">
        <v>3923</v>
      </c>
      <c r="G9" s="3247"/>
      <c r="H9" s="3247"/>
      <c r="I9" s="3247"/>
      <c r="J9" s="3358"/>
      <c r="L9" s="2680" t="s">
        <v>2772</v>
      </c>
      <c r="M9" s="284" t="s">
        <v>4059</v>
      </c>
      <c r="Q9" s="1692"/>
      <c r="S9" s="3484"/>
      <c r="T9" s="3485"/>
      <c r="Y9" s="1807"/>
      <c r="Z9" s="1773">
        <v>9</v>
      </c>
      <c r="AZ9" s="2782"/>
    </row>
    <row r="10" spans="1:52" s="265" customFormat="1" ht="16.5" customHeight="1">
      <c r="A10" s="1711"/>
      <c r="B10" s="2680" t="s">
        <v>2772</v>
      </c>
      <c r="C10" s="266" t="s">
        <v>2481</v>
      </c>
      <c r="F10" s="3494" t="s">
        <v>3925</v>
      </c>
      <c r="G10" s="3495"/>
      <c r="H10" s="3495"/>
      <c r="I10" s="3495"/>
      <c r="J10" s="3496"/>
      <c r="L10" s="2680" t="s">
        <v>2772</v>
      </c>
      <c r="M10" s="266" t="s">
        <v>3319</v>
      </c>
      <c r="P10" s="1692"/>
      <c r="Q10" s="1692"/>
      <c r="S10" s="3480"/>
      <c r="T10" s="3481"/>
      <c r="Y10" s="1807"/>
      <c r="Z10" s="1773">
        <v>10</v>
      </c>
      <c r="AZ10" s="2782"/>
    </row>
    <row r="11" spans="1:52" s="265" customFormat="1" ht="16.5" customHeight="1">
      <c r="A11" s="1711"/>
      <c r="B11" s="2680" t="s">
        <v>2772</v>
      </c>
      <c r="C11" s="266" t="s">
        <v>2482</v>
      </c>
      <c r="E11" s="2783" t="s">
        <v>2772</v>
      </c>
      <c r="F11" s="3493" t="s">
        <v>3924</v>
      </c>
      <c r="G11" s="3247"/>
      <c r="H11" s="3247"/>
      <c r="I11" s="3247"/>
      <c r="J11" s="3358"/>
      <c r="L11" s="2680" t="s">
        <v>2772</v>
      </c>
      <c r="M11" s="265" t="s">
        <v>2486</v>
      </c>
      <c r="S11" s="3482"/>
      <c r="T11" s="3483"/>
      <c r="Y11" s="1807"/>
      <c r="Z11" s="1773">
        <v>11</v>
      </c>
      <c r="AZ11" s="2782"/>
    </row>
    <row r="12" spans="1:52" s="265" customFormat="1" ht="16.5" customHeight="1">
      <c r="A12" s="1711"/>
      <c r="B12" s="2680" t="s">
        <v>2772</v>
      </c>
      <c r="C12" s="284" t="s">
        <v>3322</v>
      </c>
      <c r="F12" s="3494" t="s">
        <v>3926</v>
      </c>
      <c r="G12" s="3495"/>
      <c r="H12" s="3495"/>
      <c r="I12" s="3495"/>
      <c r="J12" s="3496"/>
      <c r="L12" s="2680" t="s">
        <v>2772</v>
      </c>
      <c r="M12" s="265" t="s">
        <v>3352</v>
      </c>
      <c r="S12" s="3482"/>
      <c r="T12" s="3483"/>
      <c r="Y12" s="1807"/>
      <c r="Z12" s="1773">
        <v>12</v>
      </c>
      <c r="AZ12" s="2782"/>
    </row>
    <row r="13" spans="1:52" s="265" customFormat="1" ht="16.5" customHeight="1">
      <c r="A13" s="1711"/>
      <c r="B13" s="2680" t="s">
        <v>2772</v>
      </c>
      <c r="C13" s="284" t="s">
        <v>2485</v>
      </c>
      <c r="E13" s="2692" t="s">
        <v>2772</v>
      </c>
      <c r="F13" s="284" t="s">
        <v>3351</v>
      </c>
      <c r="H13" s="3486" t="s">
        <v>3430</v>
      </c>
      <c r="I13" s="3487"/>
      <c r="J13" s="3488"/>
      <c r="L13" s="2680" t="s">
        <v>2772</v>
      </c>
      <c r="M13" s="265" t="s">
        <v>6288</v>
      </c>
      <c r="S13" s="3482"/>
      <c r="T13" s="3483"/>
      <c r="Y13" s="1807"/>
      <c r="Z13" s="1773">
        <v>13</v>
      </c>
      <c r="AZ13" s="2782"/>
    </row>
    <row r="14" spans="1:52" s="265" customFormat="1" ht="16.5" customHeight="1">
      <c r="A14" s="1711"/>
      <c r="B14" s="2680" t="s">
        <v>2772</v>
      </c>
      <c r="C14" s="265" t="s">
        <v>2484</v>
      </c>
      <c r="E14" s="2680" t="s">
        <v>2772</v>
      </c>
      <c r="F14" s="284" t="s">
        <v>3439</v>
      </c>
      <c r="L14" s="2680" t="s">
        <v>2772</v>
      </c>
      <c r="M14" s="265" t="s">
        <v>6535</v>
      </c>
      <c r="S14" s="3484"/>
      <c r="T14" s="3485"/>
      <c r="Y14" s="1807"/>
      <c r="Z14" s="1773">
        <v>14</v>
      </c>
      <c r="AZ14" s="2782"/>
    </row>
    <row r="15" spans="1:52" s="265" customFormat="1" ht="16.5" customHeight="1">
      <c r="A15" s="1711"/>
      <c r="B15" s="2680" t="s">
        <v>2772</v>
      </c>
      <c r="C15" s="265" t="s">
        <v>3350</v>
      </c>
      <c r="E15" s="2680" t="s">
        <v>2772</v>
      </c>
      <c r="F15" s="284" t="s">
        <v>6292</v>
      </c>
      <c r="L15" s="2680" t="s">
        <v>2772</v>
      </c>
      <c r="M15" s="1693" t="s">
        <v>6293</v>
      </c>
      <c r="Y15" s="1807"/>
      <c r="Z15" s="1773">
        <v>15</v>
      </c>
      <c r="AZ15" s="2782"/>
    </row>
    <row r="16" spans="1:52" s="265" customFormat="1" ht="16.5" customHeight="1">
      <c r="A16" s="1711"/>
      <c r="B16" s="2693" t="s">
        <v>2772</v>
      </c>
      <c r="C16" s="266" t="s">
        <v>1720</v>
      </c>
      <c r="E16" s="2693" t="s">
        <v>2772</v>
      </c>
      <c r="F16" s="266" t="s">
        <v>6834</v>
      </c>
      <c r="I16" s="3465"/>
      <c r="J16" s="3466"/>
      <c r="L16" s="2693" t="s">
        <v>2772</v>
      </c>
      <c r="M16" s="1693" t="s">
        <v>6287</v>
      </c>
      <c r="Y16" s="1807"/>
      <c r="Z16" s="1773">
        <v>16</v>
      </c>
      <c r="AZ16" s="2782"/>
    </row>
    <row r="17" spans="1:52" s="265" customFormat="1" ht="17.100000000000001" customHeight="1">
      <c r="A17" s="1711"/>
      <c r="B17" s="265" t="s">
        <v>4060</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8" t="s">
        <v>1249</v>
      </c>
      <c r="I21" s="3468"/>
      <c r="J21" s="3468"/>
      <c r="K21" s="3468"/>
      <c r="L21" s="3202" t="s">
        <v>4023</v>
      </c>
      <c r="M21" s="3202"/>
      <c r="N21" s="3202" t="s">
        <v>1446</v>
      </c>
      <c r="O21" s="3202"/>
      <c r="P21" s="3202" t="s">
        <v>1564</v>
      </c>
      <c r="Q21" s="3202"/>
      <c r="S21" s="3479" t="s">
        <v>2537</v>
      </c>
      <c r="T21" s="3479"/>
      <c r="Y21" s="1807"/>
      <c r="Z21" s="1773">
        <v>21</v>
      </c>
      <c r="AZ21" s="2782" t="s">
        <v>6652</v>
      </c>
    </row>
    <row r="22" spans="1:52" s="265" customFormat="1" ht="15.75" customHeight="1">
      <c r="A22" s="289"/>
      <c r="B22" s="3500" t="s">
        <v>1525</v>
      </c>
      <c r="C22" s="3501"/>
      <c r="D22" s="3501"/>
      <c r="E22" s="2632"/>
      <c r="F22" s="2632"/>
      <c r="G22" s="2632"/>
      <c r="H22" s="3502" t="s">
        <v>6923</v>
      </c>
      <c r="I22" s="3503"/>
      <c r="J22" s="3503"/>
      <c r="K22" s="3504"/>
      <c r="L22" s="3505">
        <v>12500000</v>
      </c>
      <c r="M22" s="3506"/>
      <c r="N22" s="3507">
        <v>4.4999999999999998E-2</v>
      </c>
      <c r="O22" s="3508"/>
      <c r="P22" s="3509">
        <v>24</v>
      </c>
      <c r="Q22" s="3510"/>
      <c r="S22" s="3480"/>
      <c r="T22" s="3481"/>
      <c r="Y22" s="1807" t="s">
        <v>6652</v>
      </c>
      <c r="Z22" s="1773">
        <v>22</v>
      </c>
      <c r="AZ22" s="2782" t="s">
        <v>6653</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6653</v>
      </c>
      <c r="Z23" s="1773">
        <v>23</v>
      </c>
      <c r="AZ23" s="2782" t="s">
        <v>6654</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6654</v>
      </c>
      <c r="Z24" s="1773">
        <v>24</v>
      </c>
      <c r="AZ24" s="2782" t="s">
        <v>6655</v>
      </c>
    </row>
    <row r="25" spans="1:52" s="265" customFormat="1" ht="15.75" customHeight="1">
      <c r="A25" s="289"/>
      <c r="B25" s="3500" t="s">
        <v>2114</v>
      </c>
      <c r="C25" s="3501"/>
      <c r="D25" s="3501"/>
      <c r="E25" s="2627"/>
      <c r="F25" s="2627"/>
      <c r="G25" s="2627"/>
      <c r="H25" s="3518"/>
      <c r="I25" s="3519"/>
      <c r="J25" s="3519"/>
      <c r="K25" s="3520"/>
      <c r="L25" s="3521"/>
      <c r="M25" s="3522"/>
      <c r="N25" s="3523"/>
      <c r="O25" s="3524"/>
      <c r="P25" s="3525"/>
      <c r="Q25" s="3525"/>
      <c r="S25" s="3482"/>
      <c r="T25" s="3483"/>
      <c r="Y25" s="1807" t="s">
        <v>6655</v>
      </c>
      <c r="Z25" s="1773">
        <v>25</v>
      </c>
      <c r="AZ25" s="2782" t="s">
        <v>6656</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6656</v>
      </c>
      <c r="Z26" s="1773">
        <v>26</v>
      </c>
      <c r="AZ26" s="2782" t="s">
        <v>6657</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6657</v>
      </c>
      <c r="Z27" s="1773">
        <v>27</v>
      </c>
      <c r="AZ27" s="2782" t="s">
        <v>6658</v>
      </c>
    </row>
    <row r="28" spans="1:52" s="265" customFormat="1" ht="15.75" customHeight="1">
      <c r="A28" s="289"/>
      <c r="B28" s="3511" t="s">
        <v>769</v>
      </c>
      <c r="C28" s="3512"/>
      <c r="D28" s="3512"/>
      <c r="E28" s="2627"/>
      <c r="H28" s="3513" t="s">
        <v>6922</v>
      </c>
      <c r="I28" s="3514"/>
      <c r="J28" s="3514"/>
      <c r="K28" s="3515"/>
      <c r="L28" s="3516">
        <v>5345460</v>
      </c>
      <c r="M28" s="3517"/>
      <c r="N28" s="289"/>
      <c r="Q28" s="289"/>
      <c r="S28" s="3484"/>
      <c r="T28" s="3485"/>
      <c r="Y28" s="1807" t="s">
        <v>6658</v>
      </c>
      <c r="Z28" s="1773">
        <v>28</v>
      </c>
      <c r="AZ28" s="2782" t="s">
        <v>6659</v>
      </c>
    </row>
    <row r="29" spans="1:52" s="265" customFormat="1" ht="15.75" customHeight="1">
      <c r="A29" s="289"/>
      <c r="B29" s="3511" t="s">
        <v>770</v>
      </c>
      <c r="C29" s="3512"/>
      <c r="D29" s="3512"/>
      <c r="E29" s="2627"/>
      <c r="H29" s="3513" t="s">
        <v>6922</v>
      </c>
      <c r="I29" s="3514"/>
      <c r="J29" s="3514"/>
      <c r="K29" s="3515"/>
      <c r="L29" s="3516">
        <v>3654000</v>
      </c>
      <c r="M29" s="3517"/>
      <c r="N29" s="289"/>
      <c r="Q29" s="289"/>
      <c r="S29" s="3480"/>
      <c r="T29" s="3481"/>
      <c r="Y29" s="1807" t="s">
        <v>6659</v>
      </c>
      <c r="Z29" s="1773">
        <v>29</v>
      </c>
      <c r="AZ29" s="2782" t="s">
        <v>6660</v>
      </c>
    </row>
    <row r="30" spans="1:52" s="265" customFormat="1" ht="15.75" customHeight="1">
      <c r="A30" s="289"/>
      <c r="B30" s="2626" t="s">
        <v>231</v>
      </c>
      <c r="C30" s="2627"/>
      <c r="D30" s="3532" t="s">
        <v>1360</v>
      </c>
      <c r="E30" s="3532"/>
      <c r="F30" s="3532"/>
      <c r="G30" s="3532"/>
      <c r="H30" s="3513" t="s">
        <v>6922</v>
      </c>
      <c r="I30" s="3514"/>
      <c r="J30" s="3514"/>
      <c r="K30" s="3515"/>
      <c r="L30" s="3516">
        <v>1130191</v>
      </c>
      <c r="M30" s="3517"/>
      <c r="N30" s="289"/>
      <c r="Q30" s="289"/>
      <c r="S30" s="3482"/>
      <c r="T30" s="3483"/>
      <c r="Y30" s="1807" t="s">
        <v>6660</v>
      </c>
      <c r="Z30" s="1773">
        <v>30</v>
      </c>
      <c r="AZ30" s="2782" t="s">
        <v>6661</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6661</v>
      </c>
      <c r="Z31" s="1773">
        <v>31</v>
      </c>
      <c r="AZ31" s="2782" t="s">
        <v>6662</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6662</v>
      </c>
      <c r="Z32" s="1773">
        <v>32</v>
      </c>
      <c r="AZ32" s="2782"/>
    </row>
    <row r="33" spans="1:52" s="265" customFormat="1" ht="16.5" customHeight="1">
      <c r="A33" s="289"/>
      <c r="B33" s="1662" t="s">
        <v>1250</v>
      </c>
      <c r="C33" s="289"/>
      <c r="D33" s="289"/>
      <c r="E33" s="289"/>
      <c r="F33" s="289"/>
      <c r="G33" s="289"/>
      <c r="H33" s="289"/>
      <c r="I33" s="289"/>
      <c r="L33" s="3535">
        <f>SUM(L22:L32)</f>
        <v>22629651</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20803486</v>
      </c>
      <c r="M34" s="3538"/>
      <c r="N34" s="752"/>
      <c r="S34" s="3482"/>
      <c r="T34" s="3483"/>
      <c r="Y34" s="1807"/>
      <c r="Z34" s="1773">
        <v>34</v>
      </c>
      <c r="AZ34" s="2782"/>
    </row>
    <row r="35" spans="1:52" s="265" customFormat="1" ht="16.5" customHeight="1">
      <c r="A35" s="289"/>
      <c r="B35" s="2618" t="s">
        <v>2063</v>
      </c>
      <c r="C35" s="289"/>
      <c r="D35" s="289"/>
      <c r="E35" s="289"/>
      <c r="F35" s="289"/>
      <c r="G35" s="289"/>
      <c r="H35" s="289"/>
      <c r="I35" s="289"/>
      <c r="L35" s="3539">
        <f>L33-L34</f>
        <v>1826165</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2007</v>
      </c>
      <c r="L38" s="2629" t="s">
        <v>1247</v>
      </c>
      <c r="M38" s="2629" t="s">
        <v>1252</v>
      </c>
      <c r="P38" s="3541" t="s">
        <v>31</v>
      </c>
      <c r="Q38" s="3541"/>
      <c r="S38" s="332"/>
      <c r="Y38" s="1807"/>
      <c r="Z38" s="1773">
        <v>38</v>
      </c>
      <c r="AZ38" s="2782"/>
    </row>
    <row r="39" spans="1:52" s="265" customFormat="1" ht="13.35" customHeight="1">
      <c r="A39" s="289"/>
      <c r="B39" s="2636" t="s">
        <v>1784</v>
      </c>
      <c r="C39" s="2634"/>
      <c r="D39" s="2634"/>
      <c r="E39" s="3214" t="s">
        <v>1249</v>
      </c>
      <c r="F39" s="3214"/>
      <c r="G39" s="3214"/>
      <c r="H39" s="3214"/>
      <c r="I39" s="3202" t="s">
        <v>4022</v>
      </c>
      <c r="J39" s="3202"/>
      <c r="K39" s="2622" t="s">
        <v>1722</v>
      </c>
      <c r="L39" s="2622" t="s">
        <v>2113</v>
      </c>
      <c r="M39" s="2622" t="s">
        <v>2113</v>
      </c>
      <c r="N39" s="3202" t="s">
        <v>69</v>
      </c>
      <c r="O39" s="3202"/>
      <c r="P39" s="3299"/>
      <c r="Q39" s="3299"/>
      <c r="S39" s="3479" t="s">
        <v>2537</v>
      </c>
      <c r="T39" s="3479"/>
      <c r="Y39" s="1807"/>
      <c r="Z39" s="1773">
        <v>39</v>
      </c>
      <c r="AZ39" s="2782" t="s">
        <v>6663</v>
      </c>
    </row>
    <row r="40" spans="1:52" s="265" customFormat="1" ht="15.75" customHeight="1">
      <c r="A40" s="289"/>
      <c r="B40" s="3500" t="s">
        <v>2490</v>
      </c>
      <c r="C40" s="3501"/>
      <c r="D40" s="3501"/>
      <c r="E40" s="3502" t="s">
        <v>6923</v>
      </c>
      <c r="F40" s="3503"/>
      <c r="G40" s="3503"/>
      <c r="H40" s="3504"/>
      <c r="I40" s="3563">
        <v>6000000</v>
      </c>
      <c r="J40" s="3564"/>
      <c r="K40" s="2787">
        <v>4.2500000000000003E-2</v>
      </c>
      <c r="L40" s="2691">
        <v>17</v>
      </c>
      <c r="M40" s="2691">
        <v>35</v>
      </c>
      <c r="N40" s="3546" t="s">
        <v>6921</v>
      </c>
      <c r="O40" s="3546"/>
      <c r="P40" s="3562">
        <f>IF(OR(I40&lt;=0,I40=""),"",IF(N40="Cash Flow",0,IF(N40="Amortizing",-PMT(K40/12,M40*12,I40,0,0)*12,"")))</f>
        <v>329683.67677046813</v>
      </c>
      <c r="Q40" s="3562"/>
      <c r="S40" s="3480"/>
      <c r="T40" s="3481"/>
      <c r="Y40" s="1807" t="s">
        <v>6663</v>
      </c>
      <c r="Z40" s="1773">
        <v>40</v>
      </c>
      <c r="AZ40" s="2782" t="s">
        <v>6664</v>
      </c>
    </row>
    <row r="41" spans="1:52" s="265" customFormat="1" ht="15.75" customHeight="1">
      <c r="A41" s="289"/>
      <c r="B41" s="3511" t="s">
        <v>2491</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6664</v>
      </c>
      <c r="Z41" s="1773">
        <v>41</v>
      </c>
      <c r="AZ41" s="2782" t="s">
        <v>6665</v>
      </c>
    </row>
    <row r="42" spans="1:52" s="265" customFormat="1" ht="15.75" customHeight="1">
      <c r="A42" s="289"/>
      <c r="B42" s="3511" t="s">
        <v>2492</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6665</v>
      </c>
      <c r="Z42" s="1773">
        <v>42</v>
      </c>
      <c r="AZ42" s="2782" t="s">
        <v>6666</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6666</v>
      </c>
      <c r="Z43" s="1773">
        <v>43</v>
      </c>
      <c r="AZ43" s="2782" t="s">
        <v>6667</v>
      </c>
    </row>
    <row r="44" spans="1:52" s="265" customFormat="1" ht="15.75" customHeight="1">
      <c r="A44" s="289"/>
      <c r="B44" s="2626" t="s">
        <v>4144</v>
      </c>
      <c r="C44" s="2627"/>
      <c r="D44" s="2628"/>
      <c r="E44" s="3513"/>
      <c r="F44" s="3514"/>
      <c r="G44" s="3514"/>
      <c r="H44" s="3515"/>
      <c r="I44" s="3543"/>
      <c r="J44" s="3544"/>
      <c r="K44" s="437"/>
      <c r="L44" s="2625"/>
      <c r="M44" s="2625"/>
      <c r="N44" s="3577"/>
      <c r="O44" s="3577"/>
      <c r="P44" s="3576"/>
      <c r="Q44" s="3576"/>
      <c r="S44" s="3482"/>
      <c r="T44" s="3483"/>
      <c r="Y44" s="1807" t="s">
        <v>6667</v>
      </c>
      <c r="Z44" s="1773">
        <v>44</v>
      </c>
      <c r="AZ44" s="2782" t="s">
        <v>6668</v>
      </c>
    </row>
    <row r="45" spans="1:52" s="265" customFormat="1" ht="15.75" customHeight="1">
      <c r="A45" s="289"/>
      <c r="B45" s="2633" t="s">
        <v>219</v>
      </c>
      <c r="C45" s="2634"/>
      <c r="D45" s="358">
        <f>IF(OR(I45="",I45=0,'Part IV-A-Uses of Funds'!$G$127="",'Part IV-A-Uses of Funds'!$G$127=0),"",I45/'Part IV-A-Uses of Funds'!$G$127)</f>
        <v>0.24019638242894056</v>
      </c>
      <c r="E45" s="3469" t="s">
        <v>6862</v>
      </c>
      <c r="F45" s="3470"/>
      <c r="G45" s="3470"/>
      <c r="H45" s="3471"/>
      <c r="I45" s="3547">
        <v>464780</v>
      </c>
      <c r="J45" s="3548"/>
      <c r="K45" s="2790">
        <v>0</v>
      </c>
      <c r="L45" s="2679">
        <v>7</v>
      </c>
      <c r="M45" s="2679">
        <v>0</v>
      </c>
      <c r="N45" s="3551" t="s">
        <v>1122</v>
      </c>
      <c r="O45" s="3552"/>
      <c r="P45" s="3549">
        <f>IF(OR(I45&lt;=0,I45=""),"",IF(N45="Cash Flow",0,IF(N45="Amortizing",-PMT(K45/12,M45*12,I45,0,0)*12,"")))</f>
        <v>0</v>
      </c>
      <c r="Q45" s="3550"/>
      <c r="S45" s="3482"/>
      <c r="T45" s="3483"/>
      <c r="Y45" s="1807" t="s">
        <v>6668</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3558</v>
      </c>
      <c r="C47" s="2627"/>
      <c r="E47" s="265" t="s">
        <v>3511</v>
      </c>
      <c r="F47" s="3560">
        <f>IF(OR($I$45="",$I$45=0,'Part VII-Pro Forma'!$S$35=0,'Part VII-Pro Forma'!$S$35=""),"",VLOOKUP($L$45,'Part VII-Pro Forma'!$Q$21:$S$40,3))</f>
        <v>546628.70137553965</v>
      </c>
      <c r="G47" s="3561"/>
      <c r="H47" s="552" t="s">
        <v>3557</v>
      </c>
      <c r="I47" s="3560">
        <f>IF(OR($I$45="",$I$45=0,'Part VII-Pro Forma'!$R$35=0,'Part VII-Pro Forma'!$R$35=""),"",VLOOKUP($L$45,'Part VII-Pro Forma'!$Q$21:$S$35,2))</f>
        <v>464780</v>
      </c>
      <c r="J47" s="3561"/>
      <c r="K47" s="552" t="s">
        <v>3559</v>
      </c>
      <c r="L47" s="3558">
        <f>IF(OR($F$47 = 0,$F$47 =""),"",$I$47/$F$47)</f>
        <v>0.85026636696980029</v>
      </c>
      <c r="M47" s="3559"/>
      <c r="N47" s="3583" t="s">
        <v>4029</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6669</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07" t="s">
        <v>6669</v>
      </c>
      <c r="Z49" s="1773">
        <v>49</v>
      </c>
      <c r="AZ49" s="2782" t="s">
        <v>6670</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07" t="s">
        <v>6670</v>
      </c>
      <c r="Z50" s="1773">
        <v>50</v>
      </c>
      <c r="AZ50" s="2782" t="s">
        <v>6671</v>
      </c>
    </row>
    <row r="51" spans="1:52" s="265" customFormat="1" ht="24" customHeight="1">
      <c r="A51" s="289"/>
      <c r="B51" s="3511" t="s">
        <v>769</v>
      </c>
      <c r="C51" s="3512"/>
      <c r="D51" s="3553"/>
      <c r="E51" s="3513" t="s">
        <v>6922</v>
      </c>
      <c r="F51" s="3514"/>
      <c r="G51" s="3514"/>
      <c r="H51" s="3515"/>
      <c r="I51" s="3543">
        <v>8909100</v>
      </c>
      <c r="J51" s="3543"/>
      <c r="L51" s="3556">
        <f>'Part IV-A-Uses of Funds'!$J$197*10*'Part IV-A-Uses of Funds'!$N$188</f>
        <v>9000000</v>
      </c>
      <c r="M51" s="3556"/>
      <c r="N51" s="3557">
        <f>I51-L51</f>
        <v>-90900</v>
      </c>
      <c r="O51" s="3557"/>
      <c r="P51" s="391">
        <f>I51/I61</f>
        <v>0.38158637067078438</v>
      </c>
      <c r="Q51" s="359"/>
      <c r="S51" s="3482"/>
      <c r="T51" s="3483"/>
      <c r="Y51" s="1807" t="s">
        <v>6671</v>
      </c>
      <c r="Z51" s="1773">
        <v>51</v>
      </c>
      <c r="AZ51" s="2782" t="s">
        <v>6672</v>
      </c>
    </row>
    <row r="52" spans="1:52" s="265" customFormat="1" ht="23.25" customHeight="1">
      <c r="A52" s="289"/>
      <c r="B52" s="3511" t="s">
        <v>770</v>
      </c>
      <c r="C52" s="3512"/>
      <c r="D52" s="3553"/>
      <c r="E52" s="3513" t="s">
        <v>6965</v>
      </c>
      <c r="F52" s="3514"/>
      <c r="G52" s="3514"/>
      <c r="H52" s="3515"/>
      <c r="I52" s="3543">
        <v>6090000</v>
      </c>
      <c r="J52" s="3543"/>
      <c r="L52" s="3556">
        <f>'Part IV-A-Uses of Funds'!$J$197*10*'Part IV-A-Uses of Funds'!$Q$188</f>
        <v>6000000</v>
      </c>
      <c r="M52" s="3556"/>
      <c r="N52" s="3557">
        <f>I52-L52</f>
        <v>90000</v>
      </c>
      <c r="O52" s="3557"/>
      <c r="P52" s="391">
        <f>I52/I61</f>
        <v>0.26084127435824911</v>
      </c>
      <c r="Q52" s="359"/>
      <c r="S52" s="3482"/>
      <c r="T52" s="3483"/>
      <c r="Y52" s="1807" t="s">
        <v>6672</v>
      </c>
      <c r="Z52" s="1773">
        <v>52</v>
      </c>
      <c r="AZ52" s="2782" t="s">
        <v>6673</v>
      </c>
    </row>
    <row r="53" spans="1:52" s="265" customFormat="1" ht="27" customHeight="1">
      <c r="A53" s="289"/>
      <c r="B53" s="3511" t="s">
        <v>1360</v>
      </c>
      <c r="C53" s="3512"/>
      <c r="D53" s="3553"/>
      <c r="E53" s="3513" t="s">
        <v>6963</v>
      </c>
      <c r="F53" s="3514"/>
      <c r="G53" s="3514"/>
      <c r="H53" s="3515"/>
      <c r="I53" s="3543">
        <v>1883652</v>
      </c>
      <c r="J53" s="3543"/>
      <c r="P53" s="392">
        <f>SUM(P51:P52)</f>
        <v>0.64242764502903349</v>
      </c>
      <c r="Q53" s="359"/>
      <c r="S53" s="3484"/>
      <c r="T53" s="3485"/>
      <c r="Y53" s="1807" t="s">
        <v>6673</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1782</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1783</v>
      </c>
      <c r="C56" s="2627"/>
      <c r="D56" s="2628"/>
      <c r="E56" s="3513"/>
      <c r="F56" s="3514"/>
      <c r="G56" s="3514"/>
      <c r="H56" s="3515"/>
      <c r="I56" s="3543"/>
      <c r="J56" s="3543"/>
      <c r="M56" s="360"/>
      <c r="N56" s="360"/>
      <c r="O56" s="360"/>
      <c r="P56" s="360"/>
      <c r="Q56" s="359"/>
      <c r="S56" s="3482"/>
      <c r="T56" s="3483"/>
      <c r="Y56" s="1807"/>
      <c r="Z56" s="1773">
        <v>56</v>
      </c>
      <c r="AZ56" s="2782" t="s">
        <v>6674</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6674</v>
      </c>
      <c r="Z57" s="1773">
        <v>57</v>
      </c>
      <c r="AZ57" s="2782" t="s">
        <v>6675</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6675</v>
      </c>
      <c r="Z58" s="1773">
        <v>58</v>
      </c>
      <c r="AZ58" s="2782" t="s">
        <v>6676</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6676</v>
      </c>
      <c r="Z59" s="1773">
        <v>59</v>
      </c>
      <c r="AZ59" s="2782"/>
    </row>
    <row r="60" spans="1:52" s="265" customFormat="1" ht="14.25" customHeight="1">
      <c r="A60" s="289"/>
      <c r="B60" s="2620" t="s">
        <v>2115</v>
      </c>
      <c r="C60" s="289"/>
      <c r="D60" s="289"/>
      <c r="E60" s="289"/>
      <c r="F60" s="289"/>
      <c r="G60" s="289"/>
      <c r="I60" s="3586">
        <f>SUM(I40:J45)+SUM(I49:J59)</f>
        <v>23347532</v>
      </c>
      <c r="J60" s="3587"/>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588">
        <f>'Part IV-A-Uses of Funds'!$G$146</f>
        <v>23347532</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4145</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71" customHeight="1">
      <c r="A66" s="3580" t="s">
        <v>6967</v>
      </c>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oEedg97oT/Pv3JfFdvwtsH/VWeyv2IeUcph3xwQp+lH6JTxjzl0L+f/trUyNaQSvB6xemrf5ETepG+e28YvRwg==" saltValue="uECIUUdjPzY2KJHtvqS09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140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6645</v>
      </c>
      <c r="J1" s="1809" t="s">
        <v>6646</v>
      </c>
      <c r="M1" s="1809" t="s">
        <v>6647</v>
      </c>
      <c r="N1" s="1809" t="s">
        <v>6648</v>
      </c>
      <c r="P1" s="1809" t="s">
        <v>6649</v>
      </c>
      <c r="Q1" s="1809" t="s">
        <v>6650</v>
      </c>
      <c r="S1" s="1809" t="s">
        <v>6651</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2021-006 Wagon Works, East Point, Fulton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2021-006 Wagon Works, East Point, Fulton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5">
        <v>5500</v>
      </c>
      <c r="H9" s="3506"/>
      <c r="J9" s="3505">
        <v>5500</v>
      </c>
      <c r="K9" s="3506"/>
      <c r="L9" s="2641"/>
      <c r="M9" s="3505"/>
      <c r="N9" s="3506"/>
      <c r="P9" s="3505"/>
      <c r="Q9" s="3506"/>
      <c r="S9" s="3505"/>
      <c r="T9" s="3506"/>
      <c r="V9" s="2799"/>
      <c r="W9" s="3632"/>
      <c r="X9" s="3633"/>
      <c r="AZ9" s="1808"/>
      <c r="BA9" s="1773">
        <v>9</v>
      </c>
    </row>
    <row r="10" spans="1:53" s="289" customFormat="1" ht="11.25" customHeight="1">
      <c r="B10" s="289" t="s">
        <v>437</v>
      </c>
      <c r="G10" s="3516">
        <v>5500</v>
      </c>
      <c r="H10" s="3517"/>
      <c r="J10" s="3516">
        <v>5500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31940</v>
      </c>
      <c r="H11" s="3517"/>
      <c r="J11" s="3516">
        <v>31940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0</v>
      </c>
      <c r="H12" s="3517"/>
      <c r="J12" s="3516">
        <v>0</v>
      </c>
      <c r="K12" s="3517"/>
      <c r="L12" s="2641"/>
      <c r="M12" s="3516"/>
      <c r="N12" s="3517"/>
      <c r="P12" s="3516"/>
      <c r="Q12" s="3517"/>
      <c r="S12" s="3516"/>
      <c r="T12" s="3517"/>
      <c r="V12" s="2799"/>
      <c r="W12" s="3632"/>
      <c r="X12" s="3633"/>
      <c r="AZ12" s="1808"/>
      <c r="BA12" s="1773">
        <v>12</v>
      </c>
    </row>
    <row r="13" spans="1:53" s="289" customFormat="1" ht="11.25" customHeight="1">
      <c r="B13" s="289" t="s">
        <v>2385</v>
      </c>
      <c r="G13" s="3516">
        <v>20000</v>
      </c>
      <c r="H13" s="3517"/>
      <c r="J13" s="3516">
        <v>20000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v>0</v>
      </c>
      <c r="H14" s="3517"/>
      <c r="J14" s="3516">
        <v>0</v>
      </c>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6576</v>
      </c>
      <c r="C15" s="3668" t="s">
        <v>3343</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6677</v>
      </c>
      <c r="BA15" s="1773">
        <v>15</v>
      </c>
    </row>
    <row r="16" spans="1:53" s="289" customFormat="1" ht="11.25" customHeight="1">
      <c r="A16" s="363" t="str">
        <f>IF(AND(G16&gt;0,OR(C16="",C16="&lt;Enter detailed description here; use Comments section if needed&gt;")),"X","")</f>
        <v/>
      </c>
      <c r="B16" s="170" t="s">
        <v>6577</v>
      </c>
      <c r="C16" s="3668" t="s">
        <v>3343</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6678</v>
      </c>
      <c r="BA16" s="1773">
        <v>16</v>
      </c>
    </row>
    <row r="17" spans="1:53" s="289" customFormat="1" ht="11.25" customHeight="1" thickBot="1">
      <c r="A17" s="363" t="str">
        <f>IF(AND(G17&gt;0,OR(C17="",C17="&lt;Enter detailed description here; use Comments section if needed&gt;")),"X","")</f>
        <v/>
      </c>
      <c r="B17" s="170" t="s">
        <v>6578</v>
      </c>
      <c r="C17" s="3668" t="s">
        <v>3343</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6679</v>
      </c>
      <c r="BA17" s="1773">
        <v>17</v>
      </c>
    </row>
    <row r="18" spans="1:53" s="289" customFormat="1" ht="12.6" customHeight="1" thickTop="1">
      <c r="F18" s="338" t="s">
        <v>183</v>
      </c>
      <c r="G18" s="3658">
        <f>SUM(G9:G17)</f>
        <v>62940</v>
      </c>
      <c r="H18" s="3659"/>
      <c r="J18" s="3658">
        <f>SUM(J9:J17)</f>
        <v>62940</v>
      </c>
      <c r="K18" s="3659"/>
      <c r="L18" s="2641"/>
      <c r="M18" s="3658">
        <f>SUM(M9:M17)</f>
        <v>0</v>
      </c>
      <c r="N18" s="3659"/>
      <c r="P18" s="3658">
        <f>SUM(P9:P17)</f>
        <v>0</v>
      </c>
      <c r="Q18" s="3659"/>
      <c r="S18" s="3658">
        <f>SUM(S9:S17)</f>
        <v>0</v>
      </c>
      <c r="T18" s="3659"/>
      <c r="V18" s="2801">
        <f>SUM(V9:V17)</f>
        <v>0</v>
      </c>
      <c r="W18" s="3634"/>
      <c r="X18" s="3635"/>
      <c r="AZ18" s="1808" t="s">
        <v>6680</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44722.719141323789</v>
      </c>
      <c r="G20" s="3505">
        <v>200000</v>
      </c>
      <c r="H20" s="3506"/>
      <c r="J20" s="340"/>
      <c r="K20" s="337"/>
      <c r="L20" s="340"/>
      <c r="M20" s="340"/>
      <c r="N20" s="337"/>
      <c r="P20" s="340"/>
      <c r="Q20" s="337"/>
      <c r="S20" s="3505">
        <v>200000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v>5000</v>
      </c>
      <c r="H22" s="3517"/>
      <c r="J22" s="340"/>
      <c r="K22" s="337"/>
      <c r="L22" s="340"/>
      <c r="M22" s="3505"/>
      <c r="N22" s="3506"/>
      <c r="P22" s="340"/>
      <c r="Q22" s="337"/>
      <c r="S22" s="3516">
        <v>5000</v>
      </c>
      <c r="T22" s="3517"/>
      <c r="V22" s="2799"/>
      <c r="W22" s="3632"/>
      <c r="X22" s="3633"/>
      <c r="AZ22" s="1808"/>
      <c r="BA22" s="1773">
        <v>22</v>
      </c>
    </row>
    <row r="23" spans="1:53" s="289" customFormat="1" ht="11.25" customHeight="1" thickBot="1">
      <c r="B23" s="289" t="s">
        <v>411</v>
      </c>
      <c r="G23" s="3626">
        <v>7879285</v>
      </c>
      <c r="H23" s="3627"/>
      <c r="J23" s="340"/>
      <c r="K23" s="337"/>
      <c r="L23" s="340"/>
      <c r="M23" s="3626"/>
      <c r="N23" s="3627"/>
      <c r="P23" s="340"/>
      <c r="Q23" s="337"/>
      <c r="S23" s="3626">
        <v>7879285</v>
      </c>
      <c r="T23" s="3627"/>
      <c r="V23" s="2799"/>
      <c r="W23" s="3620"/>
      <c r="X23" s="3621"/>
      <c r="AZ23" s="1808"/>
      <c r="BA23" s="1773">
        <v>23</v>
      </c>
    </row>
    <row r="24" spans="1:53" s="289" customFormat="1" ht="12.6" customHeight="1" thickTop="1">
      <c r="F24" s="338" t="s">
        <v>183</v>
      </c>
      <c r="G24" s="3658">
        <f>SUM(G20:G23)</f>
        <v>8084285</v>
      </c>
      <c r="H24" s="3659"/>
      <c r="J24" s="340"/>
      <c r="K24" s="337"/>
      <c r="L24" s="340"/>
      <c r="M24" s="3658">
        <f>SUM(M22:M23)</f>
        <v>0</v>
      </c>
      <c r="N24" s="3659"/>
      <c r="P24" s="340"/>
      <c r="Q24" s="337"/>
      <c r="S24" s="3658">
        <f>SUM(S20:S23)</f>
        <v>8084285</v>
      </c>
      <c r="T24" s="3659"/>
      <c r="V24" s="2801">
        <f>SUM(V20:V23)</f>
        <v>0</v>
      </c>
      <c r="W24" s="3634"/>
      <c r="X24" s="3635"/>
      <c r="AZ24" s="1808" t="s">
        <v>6681</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136205.94812164578</v>
      </c>
      <c r="G26" s="3505">
        <v>609113</v>
      </c>
      <c r="H26" s="3506"/>
      <c r="J26" s="3505">
        <v>609113</v>
      </c>
      <c r="K26" s="3506"/>
      <c r="L26" s="2641"/>
      <c r="M26" s="3670"/>
      <c r="N26" s="3671"/>
      <c r="P26" s="3670"/>
      <c r="Q26" s="3671"/>
      <c r="S26" s="3505"/>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609113</v>
      </c>
      <c r="H28" s="3659"/>
      <c r="J28" s="3658">
        <f>SUM(J26:J27)</f>
        <v>609113</v>
      </c>
      <c r="K28" s="3659"/>
      <c r="L28" s="340"/>
      <c r="M28" s="3658">
        <f>M26</f>
        <v>0</v>
      </c>
      <c r="N28" s="3659"/>
      <c r="P28" s="3658">
        <f>P26</f>
        <v>0</v>
      </c>
      <c r="Q28" s="3659"/>
      <c r="S28" s="3658">
        <f>SUM(S26:S27)</f>
        <v>0</v>
      </c>
      <c r="T28" s="3659"/>
      <c r="V28" s="2801">
        <f>SUM(V26:V27)</f>
        <v>0</v>
      </c>
      <c r="W28" s="3634"/>
      <c r="X28" s="3635"/>
      <c r="AZ28" s="1808" t="s">
        <v>6682</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8231787</v>
      </c>
      <c r="H30" s="3506"/>
      <c r="J30" s="3505">
        <v>8231787</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6299</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6297</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2604</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6298</v>
      </c>
      <c r="G35" s="3673">
        <v>59100</v>
      </c>
      <c r="H35" s="3674"/>
      <c r="I35" s="289"/>
      <c r="J35" s="3673">
        <v>59100</v>
      </c>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8290887</v>
      </c>
      <c r="H36" s="3659"/>
      <c r="J36" s="3658">
        <f>SUM(J30:J35)</f>
        <v>8290887</v>
      </c>
      <c r="K36" s="3659"/>
      <c r="L36" s="2641"/>
      <c r="M36" s="3658">
        <f>SUM(M30:M35)</f>
        <v>0</v>
      </c>
      <c r="N36" s="3659"/>
      <c r="P36" s="3658">
        <f>SUM(P30:P35)</f>
        <v>0</v>
      </c>
      <c r="Q36" s="3659"/>
      <c r="S36" s="3658">
        <f>SUM(S30:S35)</f>
        <v>0</v>
      </c>
      <c r="T36" s="3659"/>
      <c r="V36" s="2801">
        <f>SUM(V30:V35)</f>
        <v>0</v>
      </c>
      <c r="W36" s="3634"/>
      <c r="X36" s="3635"/>
      <c r="AZ36" s="1808" t="s">
        <v>6683</v>
      </c>
      <c r="BA36" s="1773">
        <v>36</v>
      </c>
    </row>
    <row r="37" spans="1:53" s="289" customFormat="1" ht="12" customHeight="1">
      <c r="B37" s="291" t="s">
        <v>2239</v>
      </c>
      <c r="D37" s="3675" t="s">
        <v>3357</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534000</v>
      </c>
      <c r="F38" s="852">
        <f>IF(($G$28+$G$36)=0,0,G38/($G$28+$G$36))</f>
        <v>0.06</v>
      </c>
      <c r="G38" s="3505">
        <v>534000</v>
      </c>
      <c r="H38" s="3506"/>
      <c r="I38" s="307"/>
      <c r="J38" s="3505">
        <v>534000</v>
      </c>
      <c r="K38" s="3506"/>
      <c r="L38" s="2641"/>
      <c r="M38" s="3505"/>
      <c r="N38" s="3506"/>
      <c r="P38" s="3505"/>
      <c r="Q38" s="3506"/>
      <c r="S38" s="3505"/>
      <c r="T38" s="3506"/>
      <c r="V38" s="2799"/>
      <c r="W38" s="3632"/>
      <c r="X38" s="3633"/>
      <c r="AZ38" s="1808"/>
      <c r="BA38" s="1773">
        <v>38</v>
      </c>
    </row>
    <row r="39" spans="1:53" s="289" customFormat="1" ht="11.25" customHeight="1">
      <c r="B39" s="289" t="s">
        <v>2574</v>
      </c>
      <c r="D39" s="854">
        <f>'DCA Underwriting Assumptions'!$R$79</f>
        <v>0.02</v>
      </c>
      <c r="E39" s="855">
        <f>D39*(G28+G36)</f>
        <v>178000</v>
      </c>
      <c r="F39" s="852">
        <f>IF(($G$28+$G$36)=0,0,G39/($G$28+$G$36))</f>
        <v>0.02</v>
      </c>
      <c r="G39" s="3516">
        <v>178000</v>
      </c>
      <c r="H39" s="3517"/>
      <c r="I39" s="307"/>
      <c r="J39" s="3516">
        <v>178000</v>
      </c>
      <c r="K39" s="3517"/>
      <c r="L39" s="2641"/>
      <c r="M39" s="3516"/>
      <c r="N39" s="3517"/>
      <c r="P39" s="3516"/>
      <c r="Q39" s="3517"/>
      <c r="S39" s="3516"/>
      <c r="T39" s="3517"/>
      <c r="V39" s="2799"/>
      <c r="W39" s="3632"/>
      <c r="X39" s="3633"/>
      <c r="AZ39" s="1808"/>
      <c r="BA39" s="1773">
        <v>39</v>
      </c>
    </row>
    <row r="40" spans="1:53" s="289" customFormat="1" ht="11.25" customHeight="1" thickBot="1">
      <c r="B40" s="289" t="s">
        <v>2575</v>
      </c>
      <c r="D40" s="858">
        <f>'DCA Underwriting Assumptions'!$R$80</f>
        <v>0.06</v>
      </c>
      <c r="E40" s="859">
        <f>D40*(G28+G36)</f>
        <v>534000</v>
      </c>
      <c r="F40" s="1014">
        <f>IF(($G$28+$G$36)=0,0,G40/($G$28+$G$36))</f>
        <v>0.06</v>
      </c>
      <c r="G40" s="3626">
        <v>534000</v>
      </c>
      <c r="H40" s="3627"/>
      <c r="I40" s="307"/>
      <c r="J40" s="3626">
        <v>534000</v>
      </c>
      <c r="K40" s="3627"/>
      <c r="L40" s="2641"/>
      <c r="M40" s="3626"/>
      <c r="N40" s="3627"/>
      <c r="P40" s="3626"/>
      <c r="Q40" s="3627"/>
      <c r="S40" s="3626"/>
      <c r="T40" s="3627"/>
      <c r="V40" s="2799"/>
      <c r="W40" s="3620"/>
      <c r="X40" s="3621"/>
      <c r="AZ40" s="1808"/>
      <c r="BA40" s="1773">
        <v>40</v>
      </c>
    </row>
    <row r="41" spans="1:53" s="289" customFormat="1" ht="12.6" customHeight="1" thickTop="1">
      <c r="B41" s="170" t="s">
        <v>3358</v>
      </c>
      <c r="D41" s="856">
        <f>SUM(D38:D40)</f>
        <v>0.14000000000000001</v>
      </c>
      <c r="E41" s="857">
        <f>SUM(E38:E40)</f>
        <v>1246000</v>
      </c>
      <c r="F41" s="839" t="s">
        <v>183</v>
      </c>
      <c r="G41" s="3658">
        <f>SUM(G38:G40)</f>
        <v>1246000</v>
      </c>
      <c r="H41" s="3659"/>
      <c r="J41" s="3658">
        <f>SUM(J38:J40)</f>
        <v>1246000</v>
      </c>
      <c r="K41" s="3659"/>
      <c r="L41" s="340"/>
      <c r="M41" s="3658">
        <f>SUM(M38:M40)</f>
        <v>0</v>
      </c>
      <c r="N41" s="3659"/>
      <c r="P41" s="3658">
        <f>SUM(P38:P40)</f>
        <v>0</v>
      </c>
      <c r="Q41" s="3659"/>
      <c r="S41" s="3658">
        <f>SUM(S38:S40)</f>
        <v>0</v>
      </c>
      <c r="T41" s="3659"/>
      <c r="V41" s="2801">
        <f>SUM(V38:V40)</f>
        <v>0</v>
      </c>
      <c r="W41" s="3634"/>
      <c r="X41" s="3635"/>
      <c r="AZ41" s="1808" t="s">
        <v>6684</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6815</v>
      </c>
      <c r="D43" s="1779"/>
      <c r="E43" s="1727"/>
      <c r="F43" s="1727"/>
      <c r="G43" s="3751">
        <f>G28+G36+G41</f>
        <v>10146000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6685</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6579</v>
      </c>
      <c r="C46" s="3668" t="s">
        <v>3343</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6686</v>
      </c>
      <c r="BA47" s="1773">
        <v>47</v>
      </c>
    </row>
    <row r="48" spans="1:53" s="289" customFormat="1" ht="12.6" customHeight="1">
      <c r="B48" s="1740" t="s">
        <v>2580</v>
      </c>
      <c r="C48" s="1741"/>
      <c r="E48" s="3685" t="s">
        <v>2579</v>
      </c>
      <c r="F48" s="2637">
        <f>C49/'Part VI-Revenues &amp; Expenses'!$P$65</f>
        <v>114000</v>
      </c>
      <c r="G48" s="2638" t="s">
        <v>2598</v>
      </c>
      <c r="H48" s="1742"/>
      <c r="I48" s="1742"/>
      <c r="J48" s="3687">
        <f>C49/'Part VI-Revenues &amp; Expenses'!$P$67</f>
        <v>114000</v>
      </c>
      <c r="K48" s="3687"/>
      <c r="L48" s="1742"/>
      <c r="M48" s="3688" t="s">
        <v>6795</v>
      </c>
      <c r="N48" s="3688"/>
      <c r="O48" s="1742"/>
      <c r="P48" s="3687">
        <f>C49/'Part I-Project Information'!$P$70</f>
        <v>100.80476900149031</v>
      </c>
      <c r="Q48" s="3687"/>
      <c r="R48" s="1742"/>
      <c r="S48" s="3689" t="s">
        <v>6797</v>
      </c>
      <c r="T48" s="3690"/>
      <c r="V48" s="935"/>
      <c r="W48" s="3681"/>
      <c r="X48" s="3682"/>
      <c r="AZ48" s="1808"/>
      <c r="BA48" s="1773">
        <v>48</v>
      </c>
    </row>
    <row r="49" spans="1:53" s="289" customFormat="1" ht="12.6" customHeight="1">
      <c r="B49" s="1781" t="s">
        <v>6814</v>
      </c>
      <c r="C49" s="1780">
        <f>G28+G36+G41+G46</f>
        <v>10146000</v>
      </c>
      <c r="E49" s="3686"/>
      <c r="F49" s="2639">
        <f>C49/'Part VI-Revenues &amp; Expenses'!$P$166</f>
        <v>122.31464737793851</v>
      </c>
      <c r="G49" s="1743" t="s">
        <v>2599</v>
      </c>
      <c r="H49" s="1744"/>
      <c r="I49" s="1744"/>
      <c r="J49" s="3677">
        <f>C49/'Part VI-Revenues &amp; Expenses'!$P$168</f>
        <v>122.31464737793851</v>
      </c>
      <c r="K49" s="3677"/>
      <c r="L49" s="1744"/>
      <c r="M49" s="3678" t="s">
        <v>6796</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2537</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6607</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507300</v>
      </c>
      <c r="F55" s="1849">
        <f>G55/C49</f>
        <v>0.05</v>
      </c>
      <c r="G55" s="3640">
        <v>507300</v>
      </c>
      <c r="H55" s="3641"/>
      <c r="I55" s="289"/>
      <c r="J55" s="3640">
        <v>507300</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6608</v>
      </c>
      <c r="C57" s="1741"/>
      <c r="E57" s="3768" t="s">
        <v>6609</v>
      </c>
      <c r="F57" s="2637">
        <f>B58/'Part VI-Revenues &amp; Expenses'!$P$65</f>
        <v>119700</v>
      </c>
      <c r="G57" s="2638" t="s">
        <v>2598</v>
      </c>
      <c r="H57" s="1742"/>
      <c r="I57" s="1742"/>
      <c r="J57" s="3687">
        <f>B58/'Part VI-Revenues &amp; Expenses'!$P$67</f>
        <v>119700</v>
      </c>
      <c r="K57" s="3687"/>
      <c r="L57" s="1742"/>
      <c r="M57" s="3688" t="s">
        <v>6795</v>
      </c>
      <c r="N57" s="3688"/>
      <c r="O57" s="1742"/>
      <c r="P57" s="3687">
        <f>B58/'Part I-Project Information'!$P$70</f>
        <v>105.84500745156483</v>
      </c>
      <c r="Q57" s="3687"/>
      <c r="R57" s="1742"/>
      <c r="S57" s="3689" t="s">
        <v>6797</v>
      </c>
      <c r="T57" s="3690"/>
      <c r="V57" s="935"/>
      <c r="W57" s="3681"/>
      <c r="X57" s="3682"/>
      <c r="AZ57" s="1808"/>
      <c r="BA57" s="1773">
        <v>54</v>
      </c>
    </row>
    <row r="58" spans="1:53" s="289" customFormat="1" ht="12.6" customHeight="1">
      <c r="B58" s="3766">
        <f>C49+G55</f>
        <v>10653300</v>
      </c>
      <c r="C58" s="3767"/>
      <c r="E58" s="3769"/>
      <c r="F58" s="2639">
        <f>B58/'Part VI-Revenues &amp; Expenses'!$P$166</f>
        <v>128.43037974683546</v>
      </c>
      <c r="G58" s="1743" t="s">
        <v>2599</v>
      </c>
      <c r="H58" s="1744"/>
      <c r="I58" s="1744"/>
      <c r="J58" s="3677">
        <f>B58/'Part VI-Revenues &amp; Expenses'!$P$168</f>
        <v>128.43037974683546</v>
      </c>
      <c r="K58" s="3677"/>
      <c r="L58" s="1744"/>
      <c r="M58" s="3678" t="s">
        <v>6796</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3360</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2242</v>
      </c>
      <c r="G63" s="3516">
        <v>125000</v>
      </c>
      <c r="H63" s="3517"/>
      <c r="J63" s="3516">
        <v>125000</v>
      </c>
      <c r="K63" s="3517"/>
      <c r="L63" s="2641"/>
      <c r="M63" s="3516"/>
      <c r="N63" s="3517"/>
      <c r="P63" s="3516"/>
      <c r="Q63" s="3517"/>
      <c r="S63" s="3516"/>
      <c r="T63" s="3517"/>
      <c r="V63" s="2803"/>
      <c r="W63" s="3632"/>
      <c r="X63" s="3633"/>
      <c r="AZ63" s="1808"/>
      <c r="BA63" s="1773">
        <v>63</v>
      </c>
    </row>
    <row r="64" spans="1:53" s="289" customFormat="1" ht="12" customHeight="1">
      <c r="B64" s="289" t="s">
        <v>2243</v>
      </c>
      <c r="G64" s="3516">
        <v>668777</v>
      </c>
      <c r="H64" s="3517"/>
      <c r="J64" s="3516">
        <v>412592</v>
      </c>
      <c r="K64" s="3517"/>
      <c r="L64" s="2641"/>
      <c r="M64" s="3516"/>
      <c r="N64" s="3517"/>
      <c r="P64" s="3516"/>
      <c r="Q64" s="3517"/>
      <c r="S64" s="3516">
        <f>G64-J64</f>
        <v>256185</v>
      </c>
      <c r="T64" s="3517"/>
      <c r="V64" s="2803"/>
      <c r="W64" s="3632"/>
      <c r="X64" s="3633"/>
      <c r="AZ64" s="1808"/>
      <c r="BA64" s="1773">
        <v>64</v>
      </c>
    </row>
    <row r="65" spans="1:53" s="289" customFormat="1" ht="12" customHeight="1">
      <c r="B65" s="289" t="s">
        <v>2244</v>
      </c>
      <c r="G65" s="3516">
        <v>5000</v>
      </c>
      <c r="H65" s="3517"/>
      <c r="J65" s="3516">
        <v>5000</v>
      </c>
      <c r="K65" s="3517"/>
      <c r="L65" s="2641"/>
      <c r="M65" s="3516"/>
      <c r="N65" s="3517"/>
      <c r="P65" s="3516"/>
      <c r="Q65" s="3517"/>
      <c r="S65" s="3516"/>
      <c r="T65" s="3517"/>
      <c r="V65" s="2803"/>
      <c r="W65" s="3632"/>
      <c r="X65" s="3633"/>
      <c r="AZ65" s="1808" t="s">
        <v>6687</v>
      </c>
      <c r="BA65" s="1773">
        <v>65</v>
      </c>
    </row>
    <row r="66" spans="1:53" s="289" customFormat="1" ht="12" customHeight="1">
      <c r="B66" s="289" t="s">
        <v>2539</v>
      </c>
      <c r="G66" s="3516">
        <v>5000</v>
      </c>
      <c r="H66" s="3517"/>
      <c r="J66" s="3516">
        <v>5000</v>
      </c>
      <c r="K66" s="3517"/>
      <c r="L66" s="2641"/>
      <c r="M66" s="3516"/>
      <c r="N66" s="3517"/>
      <c r="P66" s="3516"/>
      <c r="Q66" s="3517"/>
      <c r="S66" s="3516"/>
      <c r="T66" s="3517"/>
      <c r="V66" s="2803"/>
      <c r="W66" s="3632"/>
      <c r="X66" s="3633"/>
      <c r="AZ66" s="1808" t="s">
        <v>6688</v>
      </c>
      <c r="BA66" s="1773">
        <v>66</v>
      </c>
    </row>
    <row r="67" spans="1:53" s="289" customFormat="1" ht="12" customHeight="1">
      <c r="B67" s="289" t="s">
        <v>693</v>
      </c>
      <c r="G67" s="3516">
        <v>133283</v>
      </c>
      <c r="H67" s="3517"/>
      <c r="J67" s="3516">
        <v>133283</v>
      </c>
      <c r="K67" s="3517"/>
      <c r="L67" s="2641"/>
      <c r="M67" s="3516"/>
      <c r="N67" s="3517"/>
      <c r="P67" s="3516"/>
      <c r="Q67" s="3517"/>
      <c r="S67" s="3516"/>
      <c r="T67" s="3517"/>
      <c r="V67" s="2803"/>
      <c r="W67" s="3632"/>
      <c r="X67" s="3633"/>
      <c r="AZ67" s="1808" t="s">
        <v>6689</v>
      </c>
      <c r="BA67" s="1773">
        <v>67</v>
      </c>
    </row>
    <row r="68" spans="1:53" s="289" customFormat="1" ht="12" customHeight="1">
      <c r="B68" s="289" t="s">
        <v>2245</v>
      </c>
      <c r="G68" s="3516">
        <v>75000</v>
      </c>
      <c r="H68" s="3517"/>
      <c r="J68" s="3516">
        <v>75000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15000</v>
      </c>
      <c r="H69" s="3517"/>
      <c r="J69" s="3516">
        <v>15000</v>
      </c>
      <c r="K69" s="3517"/>
      <c r="L69" s="2641"/>
      <c r="M69" s="3516"/>
      <c r="N69" s="3517"/>
      <c r="P69" s="3516"/>
      <c r="Q69" s="3517"/>
      <c r="S69" s="3516"/>
      <c r="T69" s="3517"/>
      <c r="V69" s="2803"/>
      <c r="W69" s="3632"/>
      <c r="X69" s="3633"/>
      <c r="AZ69" s="1808"/>
      <c r="BA69" s="1773">
        <v>69</v>
      </c>
    </row>
    <row r="70" spans="1:53" s="289" customFormat="1" ht="12" customHeight="1">
      <c r="B70" s="344" t="s">
        <v>1111</v>
      </c>
      <c r="D70" s="342"/>
      <c r="E70" s="342"/>
      <c r="F70" s="343"/>
      <c r="G70" s="3516">
        <v>70000</v>
      </c>
      <c r="H70" s="3517"/>
      <c r="I70" s="307"/>
      <c r="J70" s="3516">
        <v>70000</v>
      </c>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6581</v>
      </c>
      <c r="C71" s="3695" t="s">
        <v>3343</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6582</v>
      </c>
      <c r="C72" s="3693" t="s">
        <v>3343</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1097060</v>
      </c>
      <c r="H73" s="3659"/>
      <c r="J73" s="3658">
        <f>SUM(J61:J72)</f>
        <v>840875</v>
      </c>
      <c r="K73" s="3659"/>
      <c r="L73" s="340"/>
      <c r="M73" s="3658">
        <f>SUM(M61:M72)</f>
        <v>0</v>
      </c>
      <c r="N73" s="3659"/>
      <c r="P73" s="3658">
        <f>SUM(P61:P72)</f>
        <v>0</v>
      </c>
      <c r="Q73" s="3659"/>
      <c r="S73" s="3658">
        <f>SUM(S61:S72)</f>
        <v>256185</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120000</v>
      </c>
      <c r="H75" s="3506"/>
      <c r="J75" s="3505">
        <v>120000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30000</v>
      </c>
      <c r="H76" s="3517"/>
      <c r="J76" s="3516">
        <v>30000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7500</v>
      </c>
      <c r="H78" s="3517"/>
      <c r="J78" s="3516">
        <v>7500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7500</v>
      </c>
      <c r="H79" s="3517"/>
      <c r="J79" s="3516">
        <v>7500</v>
      </c>
      <c r="K79" s="3517"/>
      <c r="L79" s="2641"/>
      <c r="M79" s="3516"/>
      <c r="N79" s="3517"/>
      <c r="P79" s="3516"/>
      <c r="Q79" s="3517"/>
      <c r="S79" s="3516"/>
      <c r="T79" s="3517"/>
      <c r="V79" s="2799"/>
      <c r="W79" s="3632"/>
      <c r="X79" s="3633"/>
      <c r="AZ79" s="1808" t="s">
        <v>6690</v>
      </c>
      <c r="BA79" s="1773">
        <v>79</v>
      </c>
    </row>
    <row r="80" spans="1:53" s="289" customFormat="1" ht="12" customHeight="1">
      <c r="B80" s="289" t="s">
        <v>1089</v>
      </c>
      <c r="G80" s="3516">
        <v>5000</v>
      </c>
      <c r="H80" s="3517"/>
      <c r="J80" s="3516">
        <v>5000</v>
      </c>
      <c r="K80" s="3517"/>
      <c r="L80" s="2641"/>
      <c r="M80" s="3516"/>
      <c r="N80" s="3517"/>
      <c r="P80" s="3516"/>
      <c r="Q80" s="3517"/>
      <c r="S80" s="3516"/>
      <c r="T80" s="3517"/>
      <c r="V80" s="2799"/>
      <c r="W80" s="3632"/>
      <c r="X80" s="3633"/>
      <c r="AZ80" s="1808" t="s">
        <v>6691</v>
      </c>
      <c r="BA80" s="1773">
        <v>80</v>
      </c>
    </row>
    <row r="81" spans="1:53" s="289" customFormat="1" ht="12" customHeight="1">
      <c r="B81" s="289" t="s">
        <v>459</v>
      </c>
      <c r="G81" s="3516">
        <v>20000</v>
      </c>
      <c r="H81" s="3517"/>
      <c r="J81" s="3516">
        <v>20000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70000</v>
      </c>
      <c r="H82" s="3517"/>
      <c r="J82" s="3516">
        <v>70000</v>
      </c>
      <c r="K82" s="3517"/>
      <c r="L82" s="2641"/>
      <c r="M82" s="3516"/>
      <c r="N82" s="3517"/>
      <c r="P82" s="3516"/>
      <c r="Q82" s="3517"/>
      <c r="S82" s="3516"/>
      <c r="T82" s="3517"/>
      <c r="V82" s="2799"/>
      <c r="W82" s="3632"/>
      <c r="X82" s="3633"/>
      <c r="AZ82" s="1808"/>
      <c r="BA82" s="1773">
        <v>82</v>
      </c>
    </row>
    <row r="83" spans="1:53" s="289" customFormat="1" ht="12" customHeight="1">
      <c r="B83" s="289" t="s">
        <v>1957</v>
      </c>
      <c r="G83" s="3516">
        <v>20000</v>
      </c>
      <c r="H83" s="3517"/>
      <c r="J83" s="3516">
        <v>20000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15000</v>
      </c>
      <c r="H84" s="3517"/>
      <c r="J84" s="3516">
        <v>15000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6583</v>
      </c>
      <c r="C85" s="3668" t="s">
        <v>3343</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315000</v>
      </c>
      <c r="H86" s="3659"/>
      <c r="J86" s="3658">
        <f>SUM(J75:J85)</f>
        <v>315000</v>
      </c>
      <c r="K86" s="3659"/>
      <c r="L86" s="340"/>
      <c r="M86" s="3658">
        <f>SUM(M75:M85)</f>
        <v>0</v>
      </c>
      <c r="N86" s="3659"/>
      <c r="P86" s="3658">
        <f>SUM(P75:P85)</f>
        <v>0</v>
      </c>
      <c r="Q86" s="3659"/>
      <c r="S86" s="3658">
        <f>SUM(S75:S85)</f>
        <v>0</v>
      </c>
      <c r="T86" s="3659"/>
      <c r="V86" s="2801">
        <f>SUM(V75:V85)</f>
        <v>0</v>
      </c>
      <c r="W86" s="3634"/>
      <c r="X86" s="3635"/>
      <c r="AZ86" s="1808" t="s">
        <v>6692</v>
      </c>
      <c r="BA86" s="1773">
        <v>86</v>
      </c>
    </row>
    <row r="87" spans="1:53" ht="12" customHeight="1">
      <c r="A87" s="289"/>
      <c r="B87" s="291" t="s">
        <v>1221</v>
      </c>
      <c r="C87" s="289"/>
      <c r="D87" s="788" t="s">
        <v>3361</v>
      </c>
      <c r="E87" s="861">
        <f>G92/'Part VI-Revenues &amp; Expenses'!$P$67</f>
        <v>3268.5505617977528</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34443</v>
      </c>
      <c r="H88" s="3506"/>
      <c r="J88" s="3505">
        <v>34443</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2772</v>
      </c>
      <c r="G90" s="3516">
        <v>42858</v>
      </c>
      <c r="H90" s="3517"/>
      <c r="I90" s="307"/>
      <c r="J90" s="3516">
        <v>42858</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2772</v>
      </c>
      <c r="G91" s="3472">
        <v>213600</v>
      </c>
      <c r="H91" s="3473"/>
      <c r="I91" s="307"/>
      <c r="J91" s="3472">
        <v>213600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290901</v>
      </c>
      <c r="H92" s="3659"/>
      <c r="J92" s="3658">
        <f>SUM(J88:J91)</f>
        <v>290901</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6693</v>
      </c>
      <c r="BA96" s="1773">
        <v>93</v>
      </c>
    </row>
    <row r="97" spans="1:53" s="289" customFormat="1" ht="12" customHeight="1">
      <c r="B97" s="289" t="s">
        <v>1226</v>
      </c>
      <c r="G97" s="3505">
        <v>60000</v>
      </c>
      <c r="H97" s="3506"/>
      <c r="J97" s="3697"/>
      <c r="K97" s="3697"/>
      <c r="L97" s="2641"/>
      <c r="M97" s="3697"/>
      <c r="N97" s="3697"/>
      <c r="P97" s="3697"/>
      <c r="Q97" s="3697"/>
      <c r="S97" s="3505">
        <v>60000</v>
      </c>
      <c r="T97" s="3506"/>
      <c r="V97" s="2799"/>
      <c r="W97" s="3632"/>
      <c r="X97" s="3633"/>
      <c r="AZ97" s="1808" t="s">
        <v>6694</v>
      </c>
      <c r="BA97" s="1773">
        <v>94</v>
      </c>
    </row>
    <row r="98" spans="1:53" s="289" customFormat="1" ht="12" customHeight="1">
      <c r="B98" s="289" t="s">
        <v>1227</v>
      </c>
      <c r="G98" s="3516">
        <v>5000</v>
      </c>
      <c r="H98" s="3517"/>
      <c r="J98" s="3697"/>
      <c r="K98" s="3697"/>
      <c r="L98" s="2641"/>
      <c r="M98" s="3697"/>
      <c r="N98" s="3697"/>
      <c r="P98" s="3697"/>
      <c r="Q98" s="3697"/>
      <c r="S98" s="3516">
        <v>5000</v>
      </c>
      <c r="T98" s="3517"/>
      <c r="V98" s="2799"/>
      <c r="W98" s="3632"/>
      <c r="X98" s="3633"/>
      <c r="AZ98" s="1808"/>
      <c r="BA98" s="1773">
        <v>95</v>
      </c>
    </row>
    <row r="99" spans="1:53" s="289" customFormat="1" ht="12" customHeight="1">
      <c r="B99" s="289" t="s">
        <v>1228</v>
      </c>
      <c r="G99" s="3516">
        <v>12500</v>
      </c>
      <c r="H99" s="3517"/>
      <c r="J99" s="3697"/>
      <c r="K99" s="3697"/>
      <c r="L99" s="2641"/>
      <c r="M99" s="3697"/>
      <c r="N99" s="3697"/>
      <c r="P99" s="3697"/>
      <c r="Q99" s="3697"/>
      <c r="S99" s="3516">
        <v>12500</v>
      </c>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2195</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6584</v>
      </c>
      <c r="C102" s="3668" t="s">
        <v>3343</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77500</v>
      </c>
      <c r="H103" s="3659"/>
      <c r="J103" s="3697"/>
      <c r="K103" s="3697"/>
      <c r="L103" s="340"/>
      <c r="M103" s="3697"/>
      <c r="N103" s="3697"/>
      <c r="P103" s="3697"/>
      <c r="Q103" s="3697"/>
      <c r="S103" s="3658">
        <f>SUM(S97:S102)</f>
        <v>77500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v>1000</v>
      </c>
      <c r="H105" s="3506"/>
      <c r="J105" s="340"/>
      <c r="K105" s="340"/>
      <c r="L105" s="2641"/>
      <c r="M105" s="340"/>
      <c r="N105" s="340"/>
      <c r="P105" s="340"/>
      <c r="Q105" s="340"/>
      <c r="S105" s="3505">
        <v>1000</v>
      </c>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6695</v>
      </c>
      <c r="BA106" s="1773">
        <v>106</v>
      </c>
    </row>
    <row r="107" spans="1:53" s="289" customFormat="1" ht="12.6" customHeight="1">
      <c r="B107" s="289" t="s">
        <v>3462</v>
      </c>
      <c r="G107" s="3516">
        <v>1000</v>
      </c>
      <c r="H107" s="3517"/>
      <c r="J107" s="340"/>
      <c r="K107" s="340"/>
      <c r="L107" s="347"/>
      <c r="M107" s="340"/>
      <c r="N107" s="340"/>
      <c r="O107" s="2627"/>
      <c r="P107" s="340"/>
      <c r="Q107" s="340"/>
      <c r="S107" s="3516">
        <v>1000</v>
      </c>
      <c r="T107" s="3517"/>
      <c r="V107" s="2799"/>
      <c r="W107" s="3632"/>
      <c r="X107" s="3633"/>
      <c r="AZ107" s="1808" t="s">
        <v>6696</v>
      </c>
      <c r="BA107" s="1773">
        <v>107</v>
      </c>
    </row>
    <row r="108" spans="1:53" s="289" customFormat="1" ht="12.6" customHeight="1">
      <c r="B108" s="289" t="s">
        <v>494</v>
      </c>
      <c r="E108" s="3698">
        <f>ROUNDUP('DCA Underwriting Assumptions'!$Q$93*J197,0)</f>
        <v>80000</v>
      </c>
      <c r="F108" s="3699"/>
      <c r="G108" s="3516">
        <v>80000</v>
      </c>
      <c r="H108" s="3517"/>
      <c r="J108" s="862" t="str">
        <f>IF(E108&gt;G108,"WARNING!  LIHTC Allocation Fee proposed is below minimum required.","")</f>
        <v/>
      </c>
      <c r="K108" s="340"/>
      <c r="L108" s="2641"/>
      <c r="M108" s="340"/>
      <c r="N108" s="340"/>
      <c r="O108" s="2627"/>
      <c r="P108" s="340"/>
      <c r="Q108" s="340"/>
      <c r="S108" s="3516">
        <v>80000</v>
      </c>
      <c r="T108" s="3517"/>
      <c r="V108" s="2799"/>
      <c r="W108" s="3632"/>
      <c r="X108" s="3633"/>
      <c r="AZ108" s="1808" t="s">
        <v>6697</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89000</v>
      </c>
      <c r="F109" s="3699"/>
      <c r="G109" s="3516">
        <v>89000</v>
      </c>
      <c r="H109" s="3517"/>
      <c r="I109" s="3610" t="str">
        <f>IF(E109&gt;G109,"WARNING!  LIHTC Compliance Fee proposed is below minimum required.","")</f>
        <v/>
      </c>
      <c r="J109" s="3611"/>
      <c r="K109" s="3611"/>
      <c r="L109" s="3611"/>
      <c r="M109" s="3611"/>
      <c r="N109" s="3611"/>
      <c r="O109" s="3611"/>
      <c r="P109" s="3611"/>
      <c r="Q109" s="3611"/>
      <c r="R109" s="3612"/>
      <c r="S109" s="3516">
        <v>89000</v>
      </c>
      <c r="T109" s="3517"/>
      <c r="V109" s="2799"/>
      <c r="W109" s="3632"/>
      <c r="X109" s="3633"/>
      <c r="AZ109" s="1808"/>
      <c r="BA109" s="1773">
        <v>109</v>
      </c>
    </row>
    <row r="110" spans="1:53" s="289" customFormat="1" ht="12.6" customHeight="1">
      <c r="B110" s="289" t="s">
        <v>3602</v>
      </c>
      <c r="F110" s="1034">
        <f>ROUNDUP('DCA Underwriting Assumptions'!$Q$95,0)</f>
        <v>0</v>
      </c>
      <c r="G110" s="3516"/>
      <c r="H110" s="3517"/>
      <c r="I110" s="3610"/>
      <c r="J110" s="3611"/>
      <c r="K110" s="3611"/>
      <c r="L110" s="3611"/>
      <c r="M110" s="3611"/>
      <c r="N110" s="3611"/>
      <c r="O110" s="3611"/>
      <c r="P110" s="3611"/>
      <c r="Q110" s="3611"/>
      <c r="R110" s="3612"/>
      <c r="S110" s="3516"/>
      <c r="T110" s="3517"/>
      <c r="V110" s="2799"/>
      <c r="W110" s="3632"/>
      <c r="X110" s="3633"/>
      <c r="AZ110" s="1808"/>
      <c r="BA110" s="1773">
        <v>110</v>
      </c>
    </row>
    <row r="111" spans="1:53" s="289" customFormat="1" ht="12.6" customHeight="1">
      <c r="B111" s="289" t="s">
        <v>3603</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6580</v>
      </c>
      <c r="C112" s="3695" t="s">
        <v>3343</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6580</v>
      </c>
      <c r="C113" s="3693" t="s">
        <v>3343</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6698</v>
      </c>
      <c r="BA113" s="1773">
        <v>113</v>
      </c>
    </row>
    <row r="114" spans="1:53" s="289" customFormat="1" ht="12.6" customHeight="1" thickTop="1">
      <c r="F114" s="338" t="s">
        <v>183</v>
      </c>
      <c r="G114" s="3658">
        <f>SUM(G105:G113)</f>
        <v>180500</v>
      </c>
      <c r="H114" s="3659"/>
      <c r="J114" s="340"/>
      <c r="K114" s="340"/>
      <c r="L114" s="2641"/>
      <c r="M114" s="340"/>
      <c r="N114" s="340"/>
      <c r="P114" s="340"/>
      <c r="Q114" s="340"/>
      <c r="S114" s="3658">
        <f>SUM(S105:S113)</f>
        <v>180500</v>
      </c>
      <c r="T114" s="3659"/>
      <c r="V114" s="2801">
        <f>SUM(V105:V113)</f>
        <v>0</v>
      </c>
      <c r="W114" s="3749"/>
      <c r="X114" s="3750"/>
      <c r="AZ114" s="1808" t="s">
        <v>6699</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c r="H116" s="3506"/>
      <c r="J116" s="3697"/>
      <c r="K116" s="3697"/>
      <c r="L116" s="2641"/>
      <c r="M116" s="3697"/>
      <c r="N116" s="3697"/>
      <c r="O116" s="2627"/>
      <c r="P116" s="3697"/>
      <c r="Q116" s="3697"/>
      <c r="S116" s="3505"/>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2279</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6580</v>
      </c>
      <c r="C119" s="3668" t="s">
        <v>3343</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0</v>
      </c>
      <c r="H120" s="3659"/>
      <c r="J120" s="3697"/>
      <c r="K120" s="3697"/>
      <c r="L120" s="2641"/>
      <c r="M120" s="3697"/>
      <c r="N120" s="3697"/>
      <c r="O120" s="2627"/>
      <c r="P120" s="3697"/>
      <c r="Q120" s="3697"/>
      <c r="S120" s="3658">
        <f>SUM(S116:S119)</f>
        <v>0</v>
      </c>
      <c r="T120" s="3659"/>
      <c r="V120" s="2801">
        <f>SUM(V116:V119)</f>
        <v>0</v>
      </c>
      <c r="W120" s="3634"/>
      <c r="X120" s="3635"/>
      <c r="AC120" s="3636" t="s">
        <v>4113</v>
      </c>
      <c r="AD120" s="3636" t="s">
        <v>4114</v>
      </c>
      <c r="AE120" s="3650" t="s">
        <v>4119</v>
      </c>
      <c r="AF120" s="3660" t="s">
        <v>4115</v>
      </c>
      <c r="AZ120" s="2807"/>
      <c r="BA120" s="1773">
        <v>120</v>
      </c>
    </row>
    <row r="121" spans="1:53" s="289" customFormat="1" ht="13.35" customHeight="1">
      <c r="B121" s="291" t="s">
        <v>270</v>
      </c>
      <c r="D121" s="552" t="s">
        <v>4116</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4104</v>
      </c>
      <c r="Z121" s="1371"/>
      <c r="AA121" s="274" t="s">
        <v>4110</v>
      </c>
      <c r="AB121" s="274" t="s">
        <v>4111</v>
      </c>
      <c r="AC121" s="3637"/>
      <c r="AD121" s="3637"/>
      <c r="AE121" s="3651"/>
      <c r="AF121" s="3661"/>
      <c r="AI121" s="27"/>
      <c r="AK121" s="418"/>
      <c r="AZ121" s="2807" t="s">
        <v>6700</v>
      </c>
      <c r="BA121" s="1773">
        <v>121</v>
      </c>
    </row>
    <row r="122" spans="1:53" s="289" customFormat="1" ht="12.6" customHeight="1">
      <c r="B122" s="289" t="s">
        <v>1774</v>
      </c>
      <c r="F122" s="388">
        <f>IF($G$127=0,0,G122/$G$127)</f>
        <v>0.5</v>
      </c>
      <c r="G122" s="3700">
        <v>967500</v>
      </c>
      <c r="H122" s="3700"/>
      <c r="J122" s="3701">
        <v>967500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1935000</v>
      </c>
      <c r="AI122" s="27"/>
      <c r="AZ122" s="2807"/>
      <c r="BA122" s="1773">
        <v>122</v>
      </c>
    </row>
    <row r="123" spans="1:53" s="289" customFormat="1" ht="12.6" customHeight="1">
      <c r="B123" s="289" t="s">
        <v>3564</v>
      </c>
      <c r="F123" s="2812">
        <v>193500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3"/>
      <c r="AI123" s="27"/>
      <c r="AZ123" s="2807"/>
      <c r="BA123" s="1773">
        <v>123</v>
      </c>
    </row>
    <row r="124" spans="1:53" s="289" customFormat="1" ht="12.6" customHeight="1">
      <c r="B124" s="289" t="s">
        <v>1775</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285000</v>
      </c>
      <c r="AF124" s="3664"/>
      <c r="AI124" s="27"/>
      <c r="AZ124" s="2807"/>
      <c r="BA124" s="1773">
        <v>124</v>
      </c>
    </row>
    <row r="125" spans="1:53" s="289" customFormat="1" ht="12.6" customHeight="1">
      <c r="B125" s="289" t="s">
        <v>3285</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1824500</v>
      </c>
      <c r="AF125" s="3662">
        <f>SUM(AE125:AE127)</f>
        <v>1824500</v>
      </c>
      <c r="AG125" s="757">
        <f>51*AC125</f>
        <v>1045500</v>
      </c>
      <c r="AI125" s="27"/>
      <c r="AZ125" s="2807"/>
      <c r="BA125" s="1773">
        <v>125</v>
      </c>
    </row>
    <row r="126" spans="1:53" s="289" customFormat="1" ht="12.6" customHeight="1" thickBot="1">
      <c r="B126" s="289" t="s">
        <v>1767</v>
      </c>
      <c r="F126" s="388">
        <f>IF($G$127=0,0,G126/$G$127)</f>
        <v>0.5</v>
      </c>
      <c r="G126" s="3472">
        <v>967500</v>
      </c>
      <c r="H126" s="3473"/>
      <c r="J126" s="3472">
        <v>967500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4112</v>
      </c>
      <c r="E127" s="1393">
        <f>IF(E121="9%",AF122,IF(E121="4%",AF125,"Enter app type!"))</f>
        <v>1935000</v>
      </c>
      <c r="F127" s="338" t="s">
        <v>183</v>
      </c>
      <c r="G127" s="3658">
        <f>SUM(G122:G126)</f>
        <v>1935000</v>
      </c>
      <c r="H127" s="3703"/>
      <c r="J127" s="3658">
        <f>SUM(J122:J126)</f>
        <v>1935000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6701</v>
      </c>
      <c r="BA128" s="1773">
        <v>128</v>
      </c>
    </row>
    <row r="129" spans="1:53" s="289" customFormat="1" ht="12.6" customHeight="1">
      <c r="B129" s="289" t="s">
        <v>240</v>
      </c>
      <c r="G129" s="3505">
        <v>15000</v>
      </c>
      <c r="H129" s="3506"/>
      <c r="J129" s="348"/>
      <c r="K129" s="348"/>
      <c r="L129" s="348"/>
      <c r="M129" s="348"/>
      <c r="N129" s="348"/>
      <c r="P129" s="348"/>
      <c r="Q129" s="348"/>
      <c r="S129" s="3505">
        <v>15000</v>
      </c>
      <c r="T129" s="3506"/>
      <c r="V129" s="2799"/>
      <c r="W129" s="3632"/>
      <c r="X129" s="3633"/>
      <c r="Y129" s="1371" t="s">
        <v>4106</v>
      </c>
      <c r="Z129" s="1390"/>
      <c r="AB129" s="2819"/>
      <c r="AC129" s="27"/>
      <c r="AD129" s="27"/>
      <c r="AF129" s="27"/>
      <c r="AG129" s="27"/>
      <c r="AH129" s="27"/>
      <c r="AI129" s="27"/>
      <c r="AJ129" s="27"/>
      <c r="AK129" s="27"/>
      <c r="AZ129" s="1808" t="s">
        <v>6702</v>
      </c>
      <c r="BA129" s="1773">
        <v>129</v>
      </c>
    </row>
    <row r="130" spans="1:53" s="289" customFormat="1" ht="12.6" customHeight="1">
      <c r="B130" s="289" t="s">
        <v>1474</v>
      </c>
      <c r="F130" s="438">
        <f>+'Part VI-Revenues &amp; Expenses'!$Q$225*('DCA Underwriting Assumptions'!$Q$127/12)</f>
        <v>111274.75</v>
      </c>
      <c r="G130" s="3516">
        <v>111275</v>
      </c>
      <c r="H130" s="3517"/>
      <c r="J130" s="864" t="str">
        <f>IF(E130&gt;G130,"WARNING! Rent-Up Reserves proposed is below minimum - add comment.","")</f>
        <v/>
      </c>
      <c r="K130" s="864"/>
      <c r="L130" s="2641"/>
      <c r="M130" s="838"/>
      <c r="N130" s="838"/>
      <c r="O130" s="2627"/>
      <c r="P130" s="838"/>
      <c r="Q130" s="838"/>
      <c r="R130" s="2627"/>
      <c r="S130" s="3516">
        <v>111275</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387391.33838523406</v>
      </c>
      <c r="G131" s="3516">
        <v>387391</v>
      </c>
      <c r="H131" s="3517"/>
      <c r="J131" s="864" t="str">
        <f>IF(E131&gt;G131,"WARNING! ODR proposed is below minimum - add comment.","")</f>
        <v/>
      </c>
      <c r="K131" s="347"/>
      <c r="L131" s="347"/>
      <c r="M131" s="347"/>
      <c r="N131" s="347"/>
      <c r="O131" s="2627"/>
      <c r="P131" s="347"/>
      <c r="Q131" s="347"/>
      <c r="R131" s="2627"/>
      <c r="S131" s="3516">
        <v>387391</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v>37380</v>
      </c>
      <c r="H132" s="3517"/>
      <c r="J132" s="348"/>
      <c r="K132" s="348"/>
      <c r="L132" s="348"/>
      <c r="M132" s="348"/>
      <c r="N132" s="348"/>
      <c r="P132" s="348"/>
      <c r="Q132" s="348"/>
      <c r="S132" s="3516">
        <v>37380</v>
      </c>
      <c r="T132" s="3517"/>
      <c r="V132" s="2799"/>
      <c r="W132" s="3632"/>
      <c r="X132" s="3633"/>
      <c r="AZ132" s="1808" t="s">
        <v>6703</v>
      </c>
      <c r="BA132" s="1773">
        <v>132</v>
      </c>
    </row>
    <row r="133" spans="1:53" s="289" customFormat="1" ht="12.6" customHeight="1">
      <c r="B133" s="289" t="s">
        <v>1199</v>
      </c>
      <c r="E133" s="753" t="s">
        <v>3259</v>
      </c>
      <c r="F133" s="438">
        <f>IF('Part VI-Revenues &amp; Expenses'!$P$67=0,0,G133/'Part VI-Revenues &amp; Expenses'!$P$67)</f>
        <v>842.69662921348311</v>
      </c>
      <c r="G133" s="3516">
        <v>75000</v>
      </c>
      <c r="H133" s="3517"/>
      <c r="J133" s="3505">
        <v>75000</v>
      </c>
      <c r="K133" s="3506"/>
      <c r="L133" s="2641"/>
      <c r="M133" s="3505"/>
      <c r="N133" s="3506"/>
      <c r="P133" s="3505"/>
      <c r="Q133" s="3506"/>
      <c r="S133" s="3516"/>
      <c r="T133" s="3517"/>
      <c r="V133" s="2799"/>
      <c r="W133" s="3632"/>
      <c r="X133" s="3633"/>
      <c r="AZ133" s="1808" t="s">
        <v>6704</v>
      </c>
      <c r="BA133" s="1773">
        <v>133</v>
      </c>
    </row>
    <row r="134" spans="1:53" s="289" customFormat="1" ht="12.6" customHeight="1" thickBot="1">
      <c r="A134" s="363" t="str">
        <f>IF(AND(G134&gt;0,OR(C134="",C134="&lt;Enter detailed description here; use Comments section if needed&gt;")),"X","")</f>
        <v/>
      </c>
      <c r="B134" s="170" t="s">
        <v>6580</v>
      </c>
      <c r="C134" s="3668" t="s">
        <v>3343</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626046</v>
      </c>
      <c r="H135" s="3659"/>
      <c r="J135" s="3658">
        <f>SUM(J133:J134)</f>
        <v>75000</v>
      </c>
      <c r="K135" s="3659"/>
      <c r="L135" s="2641"/>
      <c r="M135" s="3658">
        <f>SUM(M133:M134)</f>
        <v>0</v>
      </c>
      <c r="N135" s="3659"/>
      <c r="P135" s="3658">
        <f>SUM(P133:P134)</f>
        <v>0</v>
      </c>
      <c r="Q135" s="3659"/>
      <c r="S135" s="3658">
        <f>SUM(S129:S134)</f>
        <v>551046</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v>25000</v>
      </c>
      <c r="H142" s="3506"/>
      <c r="J142" s="3505"/>
      <c r="K142" s="3506"/>
      <c r="L142" s="339"/>
      <c r="M142" s="3505"/>
      <c r="N142" s="3506"/>
      <c r="P142" s="3505"/>
      <c r="Q142" s="3506"/>
      <c r="S142" s="3505">
        <v>25000</v>
      </c>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6580</v>
      </c>
      <c r="C143" s="3668" t="s">
        <v>3343</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25000</v>
      </c>
      <c r="H144" s="3659"/>
      <c r="J144" s="3658">
        <f>SUM(J142:J143)</f>
        <v>0</v>
      </c>
      <c r="K144" s="3659"/>
      <c r="L144" s="2641"/>
      <c r="M144" s="3658">
        <f>SUM(M142:M143)</f>
        <v>0</v>
      </c>
      <c r="N144" s="3659"/>
      <c r="P144" s="3658">
        <f>SUM(P142:P143)</f>
        <v>0</v>
      </c>
      <c r="Q144" s="3659"/>
      <c r="S144" s="3658">
        <f>SUM(S142:S143)</f>
        <v>25000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6816</v>
      </c>
      <c r="E146" s="753"/>
      <c r="F146" s="1394"/>
      <c r="G146" s="3704">
        <f>G18+G24+G28+G36+G41+G46+G55+G73+G86+G92+G103+G114+G120+G127+G135+G144</f>
        <v>23347532</v>
      </c>
      <c r="H146" s="3705"/>
      <c r="J146" s="3704">
        <f>J18+J24+J28+J36+J41+J46+J55+J73+J86+J92+J103+J114+J120+J127+J135+J144</f>
        <v>14173016</v>
      </c>
      <c r="K146" s="3705"/>
      <c r="M146" s="3704">
        <f>M18+M24+M28+M36+M41+M46+M55+M73+M86+M92+M103+M114+M120+M127+M135+M144</f>
        <v>0</v>
      </c>
      <c r="N146" s="3705"/>
      <c r="P146" s="3704">
        <f>P18+P24+P28+P36+P41+P46+P55+P73+P86+P92+P103+P114+P120+P127+P135+P144</f>
        <v>0</v>
      </c>
      <c r="Q146" s="3705"/>
      <c r="S146" s="3704">
        <f>S18+S24+S28+S36+S41+S46+S55+S73+S86+S92+S103+S114+S120+S127+S135+S144</f>
        <v>9174516</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1">
        <f>IF('Part VI-Revenues &amp; Expenses'!$P$67=0,0,G146/'Part VI-Revenues &amp; Expenses'!$P$67)</f>
        <v>262331.82022471912</v>
      </c>
      <c r="E148" s="3711"/>
      <c r="F148" s="471" t="s">
        <v>2593</v>
      </c>
      <c r="G148" s="3712">
        <f>IF('Part I-Project Information'!$P$70=0,0,G146/'Part I-Project Information'!$P$70)</f>
        <v>231.9675310481868</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1952</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2058</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1777</v>
      </c>
      <c r="D155" s="2627"/>
      <c r="E155" s="2627"/>
      <c r="I155" s="352"/>
      <c r="J155" s="3707"/>
      <c r="K155" s="3708"/>
      <c r="P155" s="3707"/>
      <c r="Q155" s="3708"/>
      <c r="V155" s="2799"/>
      <c r="W155" s="3632"/>
      <c r="X155" s="3633"/>
      <c r="AZ155" s="1808"/>
      <c r="BA155" s="1808"/>
    </row>
    <row r="156" spans="1:53" s="289" customFormat="1" ht="14.1" customHeight="1">
      <c r="B156" s="2627" t="s">
        <v>1778</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2305</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1779</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4">
        <f>J146</f>
        <v>14173016</v>
      </c>
      <c r="K162" s="3655"/>
      <c r="M162" s="3656">
        <f>M146</f>
        <v>0</v>
      </c>
      <c r="N162" s="3657"/>
      <c r="P162" s="3654">
        <f>P146</f>
        <v>0</v>
      </c>
      <c r="Q162" s="3655"/>
      <c r="R162" s="3755" t="s">
        <v>3931</v>
      </c>
      <c r="S162" s="3756"/>
      <c r="T162" s="3756"/>
      <c r="V162" s="2799"/>
      <c r="W162" s="3632"/>
      <c r="X162" s="3633"/>
      <c r="AZ162" s="1808"/>
      <c r="BA162" s="1808"/>
    </row>
    <row r="163" spans="1:53" s="289" customFormat="1" ht="14.1" customHeight="1">
      <c r="B163" s="289" t="s">
        <v>2119</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2120</v>
      </c>
      <c r="J164" s="3628">
        <f>J162-J163</f>
        <v>14173016</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6920</v>
      </c>
      <c r="I165" s="3146"/>
      <c r="J165" s="3630">
        <v>1.3</v>
      </c>
      <c r="K165" s="3631"/>
      <c r="M165" s="3716"/>
      <c r="N165" s="3716"/>
      <c r="P165" s="3630">
        <v>1.3</v>
      </c>
      <c r="Q165" s="3631"/>
      <c r="R165" s="3757" t="s">
        <v>3334</v>
      </c>
      <c r="S165" s="3758"/>
      <c r="T165" s="3759"/>
      <c r="U165" s="1250"/>
      <c r="V165" s="2799"/>
      <c r="W165" s="3632"/>
      <c r="X165" s="3633"/>
      <c r="AZ165" s="1808"/>
      <c r="BA165" s="1808"/>
    </row>
    <row r="166" spans="1:53" s="289" customFormat="1" ht="14.1" customHeight="1">
      <c r="B166" s="289" t="s">
        <v>1962</v>
      </c>
      <c r="J166" s="3628">
        <f>J164*J165</f>
        <v>18424920.800000001</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2423</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1953</v>
      </c>
      <c r="J168" s="3628">
        <f>J166*J167</f>
        <v>18424920.800000001</v>
      </c>
      <c r="K168" s="3629"/>
      <c r="M168" s="3628">
        <f>M166*M167</f>
        <v>0</v>
      </c>
      <c r="N168" s="3629"/>
      <c r="P168" s="3628">
        <f>P166*P167</f>
        <v>0</v>
      </c>
      <c r="Q168" s="3629"/>
      <c r="V168" s="2799"/>
      <c r="W168" s="3632"/>
      <c r="X168" s="3633"/>
      <c r="AZ168" s="1808"/>
      <c r="BA168" s="1808"/>
    </row>
    <row r="169" spans="1:53" s="289" customFormat="1" ht="14.1" customHeight="1">
      <c r="B169" s="289" t="s">
        <v>1954</v>
      </c>
      <c r="J169" s="3630">
        <v>0.09</v>
      </c>
      <c r="K169" s="3631"/>
      <c r="M169" s="3630">
        <v>0.04</v>
      </c>
      <c r="N169" s="3631"/>
      <c r="P169" s="3630">
        <v>0.09</v>
      </c>
      <c r="Q169" s="3631"/>
      <c r="V169" s="2799"/>
      <c r="W169" s="3632"/>
      <c r="X169" s="3633"/>
      <c r="AZ169" s="1808"/>
      <c r="BA169" s="1808"/>
    </row>
    <row r="170" spans="1:53" s="289" customFormat="1" ht="14.1" customHeight="1" thickBot="1">
      <c r="B170" s="289" t="s">
        <v>2424</v>
      </c>
      <c r="J170" s="3719">
        <f>J168*J169</f>
        <v>1658242.872</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1658242</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4127</v>
      </c>
      <c r="H175" s="2826"/>
      <c r="I175" s="2826"/>
      <c r="M175" s="509"/>
      <c r="O175" s="2827"/>
      <c r="P175" s="2827"/>
      <c r="Q175" s="2827"/>
      <c r="R175" s="2827"/>
      <c r="S175" s="2827"/>
      <c r="T175" s="2827"/>
      <c r="U175" s="2827"/>
      <c r="V175" s="2827"/>
      <c r="AZ175" s="1808"/>
      <c r="BA175" s="1808"/>
    </row>
    <row r="176" spans="1:53" s="166" customFormat="1" ht="15" customHeight="1">
      <c r="B176" s="166" t="s">
        <v>4129</v>
      </c>
      <c r="J176" s="3623">
        <f>G146</f>
        <v>23347532</v>
      </c>
      <c r="K176" s="3624"/>
      <c r="L176" s="3625"/>
      <c r="V176" s="2828"/>
      <c r="W176" s="2829"/>
      <c r="AZ176" s="1808"/>
      <c r="BA176" s="1808"/>
    </row>
    <row r="177" spans="1:53" s="166" customFormat="1" ht="13.5" customHeight="1">
      <c r="B177" s="166" t="s">
        <v>4131</v>
      </c>
      <c r="J177" s="3623">
        <f>'Part IV-A-Uses of Funds'!$G$92+'Part IV-A-Uses of Funds'!$G$114+SUM('Part IV-A-Uses of Funds'!$G$130:$H$132)</f>
        <v>1007447</v>
      </c>
      <c r="K177" s="3624"/>
      <c r="L177" s="3625"/>
      <c r="V177" s="2828"/>
      <c r="W177" s="2829"/>
      <c r="AZ177" s="1808"/>
      <c r="BA177" s="1808"/>
    </row>
    <row r="178" spans="1:53" s="166" customFormat="1" ht="13.5" customHeight="1">
      <c r="B178" s="2729" t="s">
        <v>4130</v>
      </c>
      <c r="J178" s="3623">
        <f>J176-J177</f>
        <v>22340085</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2597</v>
      </c>
      <c r="C179" s="2729"/>
      <c r="D179" s="2729"/>
      <c r="J179" s="3623">
        <f>'Part VIII-Threshold Criteria'!$P$63</f>
        <v>24186153.200000003</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4132</v>
      </c>
      <c r="J182" s="3733">
        <v>23347532</v>
      </c>
      <c r="K182" s="3734"/>
      <c r="L182" s="3735"/>
      <c r="M182" s="3729" t="s">
        <v>4143</v>
      </c>
      <c r="N182" s="3746"/>
      <c r="O182" s="3746"/>
      <c r="P182" s="3746"/>
      <c r="Q182" s="3746"/>
      <c r="R182" s="3730"/>
      <c r="S182" s="3729" t="s">
        <v>3314</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7883652</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2131</v>
      </c>
      <c r="J184" s="3628">
        <f>+J182-J183</f>
        <v>15463880</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2581</v>
      </c>
      <c r="N185" s="3738"/>
      <c r="O185" s="3739">
        <f>'Part III-Sources of Funds'!$I$44</f>
        <v>0</v>
      </c>
      <c r="P185" s="3739"/>
      <c r="Q185" s="3739"/>
      <c r="R185" s="3740"/>
      <c r="S185" s="398" t="s">
        <v>1589</v>
      </c>
      <c r="T185" s="2832" t="s">
        <v>2769</v>
      </c>
      <c r="V185" s="2799"/>
      <c r="W185" s="3632"/>
      <c r="X185" s="3633"/>
      <c r="AZ185" s="1808"/>
      <c r="BA185" s="1808"/>
    </row>
    <row r="186" spans="1:53" s="289" customFormat="1" ht="14.1" customHeight="1">
      <c r="B186" s="289" t="s">
        <v>1239</v>
      </c>
      <c r="J186" s="3628">
        <f>J184/10</f>
        <v>1546388</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1.5</v>
      </c>
      <c r="K188" s="3722"/>
      <c r="L188" s="3723"/>
      <c r="M188" s="2635" t="s">
        <v>1241</v>
      </c>
      <c r="N188" s="3724">
        <v>0.9</v>
      </c>
      <c r="O188" s="3725"/>
      <c r="P188" s="2635" t="s">
        <v>583</v>
      </c>
      <c r="Q188" s="3724">
        <v>0.6</v>
      </c>
      <c r="R188" s="3725"/>
      <c r="V188" s="2799"/>
      <c r="W188" s="3632"/>
      <c r="X188" s="3633"/>
      <c r="AZ188" s="1808"/>
      <c r="BA188" s="1808"/>
    </row>
    <row r="189" spans="1:53" s="289" customFormat="1" ht="14.1" customHeight="1" thickBot="1">
      <c r="B189" s="291" t="s">
        <v>1374</v>
      </c>
      <c r="J189" s="3590">
        <f>ROUNDDOWN(IF(J188=0,"",J186/J188),0)</f>
        <v>1030925</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4128</v>
      </c>
      <c r="H191" s="345"/>
      <c r="I191" s="345"/>
      <c r="L191" s="2627"/>
      <c r="M191" s="450"/>
      <c r="N191" s="2627"/>
      <c r="O191" s="2627"/>
      <c r="P191" s="2627"/>
      <c r="Q191" s="1728" t="s">
        <v>6539</v>
      </c>
      <c r="R191" s="170"/>
      <c r="S191" s="3616" t="str">
        <f>'Part I-Project Information'!$H$105</f>
        <v>Atlanta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6541</v>
      </c>
      <c r="J193" s="3726">
        <v>1000000</v>
      </c>
      <c r="K193" s="3727"/>
      <c r="L193" s="3728"/>
      <c r="M193" s="307"/>
      <c r="Q193" s="279" t="s">
        <v>367</v>
      </c>
      <c r="R193" s="465"/>
      <c r="S193" s="3614" t="str">
        <f>'Part IX Scoring Criteria'!$M$43</f>
        <v>New Supply</v>
      </c>
      <c r="T193" s="3615"/>
      <c r="U193" s="1704" t="str">
        <f>IF(OR(S191="Atlanta Metro", "Other Metro"), "Metro", IF(S191="Rural","Rural",""))</f>
        <v>Metro</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4281</v>
      </c>
      <c r="J195" s="3726">
        <v>1000000</v>
      </c>
      <c r="K195" s="3727"/>
      <c r="L195" s="3728"/>
      <c r="M195" s="3613" t="str">
        <f>IF(J193=0,"",IF(J195&gt;J193,"Request can't exceed Maximum - REVISE (Try Round Down)!",""))</f>
        <v/>
      </c>
      <c r="N195" s="3613"/>
      <c r="O195" s="3613"/>
      <c r="P195" s="3613"/>
      <c r="Q195" s="279" t="s">
        <v>4116</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4282</v>
      </c>
      <c r="D197" s="307"/>
      <c r="E197" s="307"/>
      <c r="F197" s="2618"/>
      <c r="J197" s="3742">
        <f>IF(J195="",0,+MIN(J193,J195))</f>
        <v>1000000</v>
      </c>
      <c r="K197" s="3743"/>
      <c r="L197" s="3744"/>
      <c r="M197" s="3613"/>
      <c r="N197" s="3613"/>
      <c r="O197" s="3613"/>
      <c r="P197" s="3613"/>
      <c r="Q197" s="3618" t="s">
        <v>6540</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6973</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2542</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SxFJNHVa8u9Z0MbmWQUuZ9+KBqA0X8uTIuK9r7plZFPw5F6xTWv3xAmdIACALZJfqUrayJZp7RGVLbQNHLAJoQ==" saltValue="cmtr+mWuZyVE/r5Z19y4yw=="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2021-006 - Wagon Works  -  East Point  -  Fulton,  County</v>
      </c>
      <c r="B1" s="3771"/>
      <c r="C1" s="3771"/>
      <c r="D1" s="3771"/>
      <c r="E1" s="3771"/>
      <c r="F1" s="3771"/>
      <c r="G1" s="3771"/>
      <c r="H1" s="3771"/>
      <c r="I1" s="819"/>
      <c r="J1" s="819"/>
      <c r="K1" s="819"/>
      <c r="L1" s="819"/>
      <c r="M1" s="819"/>
      <c r="N1" s="819"/>
    </row>
    <row r="2" spans="1:14" ht="9" customHeight="1"/>
    <row r="3" spans="1:14" ht="57" customHeight="1">
      <c r="A3" s="3772" t="s">
        <v>3345</v>
      </c>
      <c r="B3" s="3773"/>
      <c r="C3" s="3773"/>
      <c r="D3" s="3773"/>
      <c r="E3" s="3773"/>
      <c r="F3" s="3773"/>
      <c r="G3" s="3773"/>
      <c r="H3" s="3774"/>
    </row>
    <row r="4" spans="1:14" ht="6" customHeight="1"/>
    <row r="5" spans="1:14" ht="38.25" customHeight="1">
      <c r="A5" s="3775" t="s">
        <v>3412</v>
      </c>
      <c r="B5" s="3775"/>
      <c r="C5" s="3775"/>
      <c r="D5" s="3775"/>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3339</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3339</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3339</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3338</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3339</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3339</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3339</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3339</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3339</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3340</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3339</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3339</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3341</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3339</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3339</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3342</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3339</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z4K5GVI7ggH/Z9mRw61A0pREiTpZFJpB+q1+0NeRagngL89GCgrWnQT0UlW91S76GElUbuZO8citVV6n98TvKQ==" saltValue="+9BYk9yQpcK5KaE04iIh5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2021-006 Wagon Works, East Point, Fulton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3826</v>
      </c>
      <c r="I3" s="2647" t="str">
        <f>VLOOKUP('Part I-Project Information'!$J$40,'DCA Underwriting Assumptions'!$G$174:$H$333,2)</f>
        <v>Local PHA</v>
      </c>
    </row>
    <row r="4" spans="1:25" s="8" customFormat="1" ht="6" customHeight="1" thickBot="1"/>
    <row r="5" spans="1:25">
      <c r="A5" s="249" t="s">
        <v>6832</v>
      </c>
      <c r="O5" s="3806" t="s">
        <v>6831</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6916</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43862</v>
      </c>
      <c r="J8" s="3795"/>
      <c r="K8" s="6" t="s">
        <v>514</v>
      </c>
      <c r="L8" s="3796" t="s">
        <v>6596</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1764</v>
      </c>
      <c r="I11" s="244" t="s">
        <v>539</v>
      </c>
      <c r="J11" s="245">
        <v>1</v>
      </c>
      <c r="K11" s="245">
        <v>2</v>
      </c>
      <c r="L11" s="245">
        <v>3</v>
      </c>
      <c r="M11" s="245">
        <v>4</v>
      </c>
      <c r="O11" s="3809"/>
      <c r="P11" s="3810"/>
      <c r="Q11" s="3810"/>
      <c r="R11" s="3810"/>
      <c r="S11" s="3810"/>
      <c r="T11" s="3810"/>
      <c r="U11" s="3811"/>
    </row>
    <row r="12" spans="1:25" s="8" customFormat="1" ht="12" customHeight="1" thickBot="1">
      <c r="B12" s="1346" t="s">
        <v>1766</v>
      </c>
      <c r="C12" s="1347"/>
      <c r="D12" s="3798" t="s">
        <v>6918</v>
      </c>
      <c r="E12" s="3799"/>
      <c r="F12" s="2839" t="s">
        <v>422</v>
      </c>
      <c r="G12" s="2839"/>
      <c r="H12" s="908"/>
      <c r="I12" s="2840"/>
      <c r="J12" s="2840">
        <v>9</v>
      </c>
      <c r="K12" s="2840">
        <v>12</v>
      </c>
      <c r="L12" s="2840">
        <v>14</v>
      </c>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9</v>
      </c>
      <c r="K13" s="2842">
        <v>12</v>
      </c>
      <c r="L13" s="2843">
        <v>15</v>
      </c>
      <c r="M13" s="2843"/>
      <c r="O13" s="3815" t="s">
        <v>3411</v>
      </c>
      <c r="P13" s="3815"/>
      <c r="Q13" s="3815"/>
    </row>
    <row r="14" spans="1:25" s="8" customFormat="1" ht="12" customHeight="1">
      <c r="B14" s="1350" t="s">
        <v>1532</v>
      </c>
      <c r="C14" s="1351"/>
      <c r="D14" s="3822" t="s">
        <v>1320</v>
      </c>
      <c r="E14" s="3823"/>
      <c r="F14" s="2841" t="s">
        <v>422</v>
      </c>
      <c r="G14" s="2841"/>
      <c r="H14" s="246"/>
      <c r="I14" s="2842"/>
      <c r="J14" s="2842">
        <v>5</v>
      </c>
      <c r="K14" s="2842">
        <v>7</v>
      </c>
      <c r="L14" s="2843">
        <v>8</v>
      </c>
      <c r="M14" s="2843"/>
      <c r="O14" s="3815"/>
      <c r="P14" s="3815"/>
      <c r="Q14" s="3815"/>
    </row>
    <row r="15" spans="1:25" s="8" customFormat="1" ht="12" customHeight="1">
      <c r="B15" s="1352" t="s">
        <v>447</v>
      </c>
      <c r="C15" s="1353"/>
      <c r="D15" s="1352" t="s">
        <v>1530</v>
      </c>
      <c r="E15" s="247"/>
      <c r="F15" s="2841" t="s">
        <v>422</v>
      </c>
      <c r="G15" s="2841"/>
      <c r="H15" s="906"/>
      <c r="I15" s="2842"/>
      <c r="J15" s="2842">
        <v>8</v>
      </c>
      <c r="K15" s="2842">
        <v>11</v>
      </c>
      <c r="L15" s="2843">
        <v>13</v>
      </c>
      <c r="M15" s="2843"/>
      <c r="O15" s="3815"/>
      <c r="P15" s="3815"/>
      <c r="Q15" s="3815"/>
    </row>
    <row r="16" spans="1:25" s="8" customFormat="1" ht="12" customHeight="1">
      <c r="B16" s="1354" t="s">
        <v>3405</v>
      </c>
      <c r="C16" s="1349"/>
      <c r="D16" s="1348" t="s">
        <v>1530</v>
      </c>
      <c r="E16" s="905"/>
      <c r="F16" s="2841"/>
      <c r="G16" s="2841"/>
      <c r="H16" s="907"/>
      <c r="I16" s="2842"/>
      <c r="J16" s="2842"/>
      <c r="K16" s="2842"/>
      <c r="L16" s="2843"/>
      <c r="M16" s="2843"/>
      <c r="O16" s="3815"/>
      <c r="P16" s="3815"/>
      <c r="Q16" s="3815"/>
    </row>
    <row r="17" spans="1:25" s="8" customFormat="1" ht="12" customHeight="1">
      <c r="B17" s="1354" t="s">
        <v>3406</v>
      </c>
      <c r="C17" s="1349"/>
      <c r="D17" s="1348" t="s">
        <v>1530</v>
      </c>
      <c r="E17" s="905"/>
      <c r="F17" s="2841"/>
      <c r="G17" s="2841"/>
      <c r="H17" s="907"/>
      <c r="I17" s="2842"/>
      <c r="J17" s="2842"/>
      <c r="K17" s="2842"/>
      <c r="L17" s="2843"/>
      <c r="M17" s="2843"/>
      <c r="O17" s="3815"/>
      <c r="P17" s="3815"/>
      <c r="Q17" s="3815"/>
    </row>
    <row r="18" spans="1:25" s="8" customFormat="1" ht="12" customHeight="1">
      <c r="B18" s="1355" t="s">
        <v>3407</v>
      </c>
      <c r="C18" s="1351"/>
      <c r="D18" s="1350" t="s">
        <v>1530</v>
      </c>
      <c r="E18" s="905"/>
      <c r="F18" s="2841" t="s">
        <v>422</v>
      </c>
      <c r="G18" s="2841"/>
      <c r="H18" s="246"/>
      <c r="I18" s="2842"/>
      <c r="J18" s="2842">
        <v>32</v>
      </c>
      <c r="K18" s="2842">
        <v>41</v>
      </c>
      <c r="L18" s="2843">
        <v>50</v>
      </c>
      <c r="M18" s="2843"/>
      <c r="O18" s="3815"/>
      <c r="P18" s="3815"/>
      <c r="Q18" s="3815"/>
    </row>
    <row r="19" spans="1:25" s="8" customFormat="1" ht="12" customHeight="1">
      <c r="B19" s="1352" t="s">
        <v>1321</v>
      </c>
      <c r="C19" s="1353"/>
      <c r="D19" s="1358" t="s">
        <v>3197</v>
      </c>
      <c r="E19" s="2844" t="s">
        <v>2769</v>
      </c>
      <c r="F19" s="2841" t="s">
        <v>422</v>
      </c>
      <c r="G19" s="2841"/>
      <c r="H19" s="906"/>
      <c r="I19" s="2842"/>
      <c r="J19" s="2842">
        <v>66</v>
      </c>
      <c r="K19" s="2842">
        <v>84</v>
      </c>
      <c r="L19" s="2843">
        <v>99</v>
      </c>
      <c r="M19" s="2843"/>
      <c r="O19" s="3815"/>
      <c r="P19" s="3815"/>
      <c r="Q19" s="3815"/>
    </row>
    <row r="20" spans="1:25" s="8" customFormat="1" ht="12" customHeight="1">
      <c r="B20" s="1356" t="s">
        <v>1765</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129</v>
      </c>
      <c r="K22" s="149">
        <f>IF(SUM(K12:K21)=0,0,IF(OR($D12="&lt;&lt;Select Fuel &gt;&gt;",$D13="&lt;&lt;Select Fuel &gt;&gt;",$D14="&lt;&lt;Select Fuel &gt;&gt;"),"Select Fuel",IF($E19="&lt;Select&gt;","Submeter?",SUM(K12:K21))))</f>
        <v>167</v>
      </c>
      <c r="L22" s="149">
        <f>IF(SUM(L12:L21)=0,0,IF(OR($D12="&lt;&lt;Select Fuel &gt;&gt;",$D13="&lt;&lt;Select Fuel &gt;&gt;",$D14="&lt;&lt;Select Fuel &gt;&gt;"),"Select Fuel",IF($E19="&lt;Select&gt;","Submeter?",SUM(L12:L21))))</f>
        <v>199</v>
      </c>
      <c r="M22" s="149">
        <f>IF(SUM(M12:M21)=0,0,IF(OR($D12="&lt;&lt;Select Fuel &gt;&gt;",$D13="&lt;&lt;Select Fuel &gt;&gt;",$D14="&lt;&lt;Select Fuel &gt;&gt;"),"Select Fuel",IF($E19="&lt;Select&gt;","Submeter?",SUM(M12:M21))))</f>
        <v>0</v>
      </c>
    </row>
    <row r="23" spans="1:25" s="8" customFormat="1" ht="7.5" customHeight="1">
      <c r="M23" s="27"/>
      <c r="N23" s="27"/>
      <c r="O23" s="3806" t="s">
        <v>6831</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9"/>
      <c r="P28" s="3810"/>
      <c r="Q28" s="3810"/>
      <c r="R28" s="3810"/>
      <c r="S28" s="3810"/>
      <c r="T28" s="3810"/>
      <c r="U28" s="3811"/>
    </row>
    <row r="29" spans="1:25" s="8" customFormat="1" ht="12" customHeight="1">
      <c r="B29" s="1346" t="s">
        <v>1766</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3411</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3405</v>
      </c>
      <c r="C33" s="1349"/>
      <c r="D33" s="1348" t="s">
        <v>1530</v>
      </c>
      <c r="E33" s="905"/>
      <c r="F33" s="2841"/>
      <c r="G33" s="2841"/>
      <c r="H33" s="907"/>
      <c r="I33" s="2842"/>
      <c r="J33" s="2842"/>
      <c r="K33" s="2842"/>
      <c r="L33" s="2843"/>
      <c r="M33" s="2843"/>
      <c r="O33" s="3815"/>
      <c r="P33" s="3815"/>
      <c r="Q33" s="3815"/>
    </row>
    <row r="34" spans="1:19" s="8" customFormat="1" ht="12" customHeight="1">
      <c r="B34" s="1354" t="s">
        <v>3406</v>
      </c>
      <c r="C34" s="1349"/>
      <c r="D34" s="1348" t="s">
        <v>1530</v>
      </c>
      <c r="E34" s="905"/>
      <c r="F34" s="2841"/>
      <c r="G34" s="2841"/>
      <c r="H34" s="907"/>
      <c r="I34" s="2842"/>
      <c r="J34" s="2842"/>
      <c r="K34" s="2842"/>
      <c r="L34" s="2843"/>
      <c r="M34" s="2843"/>
      <c r="O34" s="3815"/>
      <c r="P34" s="3815"/>
      <c r="Q34" s="3815"/>
    </row>
    <row r="35" spans="1:19" s="8" customFormat="1" ht="12" customHeight="1">
      <c r="B35" s="1355" t="s">
        <v>3407</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3197</v>
      </c>
      <c r="E36" s="2844" t="s">
        <v>193</v>
      </c>
      <c r="F36" s="2841"/>
      <c r="G36" s="2841"/>
      <c r="H36" s="906"/>
      <c r="I36" s="2842"/>
      <c r="J36" s="2842"/>
      <c r="K36" s="2842"/>
      <c r="L36" s="2843"/>
      <c r="M36" s="2843"/>
      <c r="O36" s="3815"/>
      <c r="P36" s="3815"/>
      <c r="Q36" s="3815"/>
    </row>
    <row r="37" spans="1:19" s="8" customFormat="1" ht="12" customHeight="1">
      <c r="B37" s="1356" t="s">
        <v>1765</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63.95" customHeight="1">
      <c r="B43" s="3816" t="s">
        <v>6964</v>
      </c>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Do43f980bi6UNmUf3YVKiU6Y1WNLeVnqHdyltE5XMuGOHSvWN2zoIymu7pppnFjGrNxyf7yXHQKf2GTEq5vrKg==" saltValue="gK9ICGguSQ6fZpu4dqUiB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855468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6705</v>
      </c>
      <c r="C1" s="2807" t="s">
        <v>163</v>
      </c>
      <c r="D1" s="2807" t="s">
        <v>165</v>
      </c>
      <c r="E1" s="2807" t="s">
        <v>6706</v>
      </c>
      <c r="F1" s="2807" t="s">
        <v>6707</v>
      </c>
      <c r="G1" s="2807" t="s">
        <v>6708</v>
      </c>
      <c r="H1" s="2807" t="s">
        <v>6709</v>
      </c>
      <c r="I1" s="2807" t="s">
        <v>6710</v>
      </c>
      <c r="J1" s="2807" t="s">
        <v>6711</v>
      </c>
      <c r="K1" s="2807" t="s">
        <v>3257</v>
      </c>
      <c r="L1" s="2807" t="s">
        <v>6712</v>
      </c>
      <c r="M1" s="2807" t="s">
        <v>6713</v>
      </c>
      <c r="N1" s="2807" t="s">
        <v>6714</v>
      </c>
      <c r="O1" s="2807" t="s">
        <v>6715</v>
      </c>
      <c r="P1" s="2807" t="s">
        <v>367</v>
      </c>
      <c r="Q1" s="2807" t="s">
        <v>6716</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2021-006 Wagon Works, East Point, Fulton County</v>
      </c>
      <c r="B2" s="3927"/>
      <c r="C2" s="3927"/>
      <c r="D2" s="3927"/>
      <c r="E2" s="3927"/>
      <c r="F2" s="3927"/>
      <c r="G2" s="3927"/>
      <c r="H2" s="3927"/>
      <c r="I2" s="3927"/>
      <c r="J2" s="3927"/>
      <c r="K2" s="3927"/>
      <c r="L2" s="3927"/>
      <c r="M2" s="3927"/>
      <c r="N2" s="3927"/>
      <c r="O2" s="3927"/>
      <c r="P2" s="3927"/>
      <c r="Q2" s="3928"/>
      <c r="T2" s="1499" t="str">
        <f>A2</f>
        <v>PART SIX - PROJECTED REVENUES &amp; EXPENSES  -  2021-006 Wagon Works, East Point, Fulton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931" t="str">
        <f>'Part I-Project Information'!$O$41</f>
        <v>Atlanta-Sandy Springs-Marietta</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3165</v>
      </c>
      <c r="MG4" s="3827" t="s">
        <v>3166</v>
      </c>
      <c r="MH4" s="3827" t="s">
        <v>3167</v>
      </c>
      <c r="MI4" s="3827" t="s">
        <v>3168</v>
      </c>
      <c r="MJ4" s="3827"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3333</v>
      </c>
      <c r="R5" s="2648"/>
      <c r="S5" s="405"/>
      <c r="T5" s="405"/>
      <c r="U5" s="405"/>
      <c r="W5" s="406"/>
      <c r="X5" s="3827" t="s">
        <v>3835</v>
      </c>
      <c r="Y5" s="3827" t="s">
        <v>3836</v>
      </c>
      <c r="Z5" s="3827" t="s">
        <v>3837</v>
      </c>
      <c r="AA5" s="3827" t="s">
        <v>3838</v>
      </c>
      <c r="AB5" s="3827" t="s">
        <v>3839</v>
      </c>
      <c r="AC5" s="3827" t="s">
        <v>3840</v>
      </c>
      <c r="AD5" s="3827" t="s">
        <v>3841</v>
      </c>
      <c r="AE5" s="3827" t="s">
        <v>3842</v>
      </c>
      <c r="AF5" s="3827" t="s">
        <v>3843</v>
      </c>
      <c r="AG5" s="3827" t="s">
        <v>3844</v>
      </c>
      <c r="AH5" s="3827" t="s">
        <v>885</v>
      </c>
      <c r="AI5" s="3827" t="s">
        <v>726</v>
      </c>
      <c r="AJ5" s="3827" t="s">
        <v>727</v>
      </c>
      <c r="AK5" s="3827" t="s">
        <v>728</v>
      </c>
      <c r="AL5" s="3827" t="s">
        <v>729</v>
      </c>
      <c r="AM5" s="3827" t="s">
        <v>886</v>
      </c>
      <c r="AN5" s="3827" t="s">
        <v>2206</v>
      </c>
      <c r="AO5" s="3827" t="s">
        <v>2207</v>
      </c>
      <c r="AP5" s="3827" t="s">
        <v>2208</v>
      </c>
      <c r="AQ5" s="3827" t="s">
        <v>2209</v>
      </c>
      <c r="AR5" s="3827" t="s">
        <v>3846</v>
      </c>
      <c r="AS5" s="3827" t="s">
        <v>3847</v>
      </c>
      <c r="AT5" s="3827" t="s">
        <v>3848</v>
      </c>
      <c r="AU5" s="3827" t="s">
        <v>3849</v>
      </c>
      <c r="AV5" s="3827" t="s">
        <v>3845</v>
      </c>
      <c r="AW5" s="3827" t="s">
        <v>887</v>
      </c>
      <c r="AX5" s="3827" t="s">
        <v>2210</v>
      </c>
      <c r="AY5" s="3827" t="s">
        <v>2211</v>
      </c>
      <c r="AZ5" s="3827" t="s">
        <v>2212</v>
      </c>
      <c r="BA5" s="3827" t="s">
        <v>2213</v>
      </c>
      <c r="BB5" s="3827" t="s">
        <v>3850</v>
      </c>
      <c r="BC5" s="3827" t="s">
        <v>3851</v>
      </c>
      <c r="BD5" s="3827" t="s">
        <v>3852</v>
      </c>
      <c r="BE5" s="3827" t="s">
        <v>3853</v>
      </c>
      <c r="BF5" s="3827" t="s">
        <v>3854</v>
      </c>
      <c r="BG5" s="3827" t="s">
        <v>122</v>
      </c>
      <c r="BH5" s="3827" t="s">
        <v>2214</v>
      </c>
      <c r="BI5" s="3827" t="s">
        <v>2215</v>
      </c>
      <c r="BJ5" s="3827" t="s">
        <v>2216</v>
      </c>
      <c r="BK5" s="3827" t="s">
        <v>1106</v>
      </c>
      <c r="BL5" s="3827" t="s">
        <v>3855</v>
      </c>
      <c r="BM5" s="3827" t="s">
        <v>3856</v>
      </c>
      <c r="BN5" s="3827" t="s">
        <v>3857</v>
      </c>
      <c r="BO5" s="3827" t="s">
        <v>3858</v>
      </c>
      <c r="BP5" s="3827" t="s">
        <v>3859</v>
      </c>
      <c r="BQ5" s="3827" t="s">
        <v>529</v>
      </c>
      <c r="BR5" s="3827" t="s">
        <v>530</v>
      </c>
      <c r="BS5" s="3827" t="s">
        <v>548</v>
      </c>
      <c r="BT5" s="3827" t="s">
        <v>549</v>
      </c>
      <c r="BU5" s="3827" t="s">
        <v>550</v>
      </c>
      <c r="BV5" s="3827" t="s">
        <v>3860</v>
      </c>
      <c r="BW5" s="3827" t="s">
        <v>3861</v>
      </c>
      <c r="BX5" s="3827" t="s">
        <v>3862</v>
      </c>
      <c r="BY5" s="3827" t="s">
        <v>3863</v>
      </c>
      <c r="BZ5" s="3827" t="s">
        <v>3864</v>
      </c>
      <c r="CA5" s="3827" t="s">
        <v>551</v>
      </c>
      <c r="CB5" s="3827" t="s">
        <v>552</v>
      </c>
      <c r="CC5" s="3827" t="s">
        <v>553</v>
      </c>
      <c r="CD5" s="3827" t="s">
        <v>554</v>
      </c>
      <c r="CE5" s="3827" t="s">
        <v>555</v>
      </c>
      <c r="CF5" s="3827" t="s">
        <v>556</v>
      </c>
      <c r="CG5" s="3827" t="s">
        <v>557</v>
      </c>
      <c r="CH5" s="3827" t="s">
        <v>896</v>
      </c>
      <c r="CI5" s="3827" t="s">
        <v>897</v>
      </c>
      <c r="CJ5" s="3827" t="s">
        <v>898</v>
      </c>
      <c r="CK5" s="3827" t="s">
        <v>3870</v>
      </c>
      <c r="CL5" s="3827" t="s">
        <v>3871</v>
      </c>
      <c r="CM5" s="3827" t="s">
        <v>3872</v>
      </c>
      <c r="CN5" s="3827" t="s">
        <v>3873</v>
      </c>
      <c r="CO5" s="3827" t="s">
        <v>3874</v>
      </c>
      <c r="CP5" s="3827" t="s">
        <v>3865</v>
      </c>
      <c r="CQ5" s="3827" t="s">
        <v>3866</v>
      </c>
      <c r="CR5" s="3827" t="s">
        <v>3867</v>
      </c>
      <c r="CS5" s="3827" t="s">
        <v>3868</v>
      </c>
      <c r="CT5" s="3827" t="s">
        <v>3869</v>
      </c>
      <c r="CU5" s="3827" t="s">
        <v>3875</v>
      </c>
      <c r="CV5" s="3827" t="s">
        <v>3876</v>
      </c>
      <c r="CW5" s="3827" t="s">
        <v>3877</v>
      </c>
      <c r="CX5" s="3827" t="s">
        <v>3878</v>
      </c>
      <c r="CY5" s="3827" t="s">
        <v>3879</v>
      </c>
      <c r="CZ5" s="3827" t="s">
        <v>474</v>
      </c>
      <c r="DA5" s="3827" t="s">
        <v>475</v>
      </c>
      <c r="DB5" s="3827" t="s">
        <v>476</v>
      </c>
      <c r="DC5" s="3827" t="s">
        <v>477</v>
      </c>
      <c r="DD5" s="3827" t="s">
        <v>478</v>
      </c>
      <c r="DE5" s="3827" t="s">
        <v>3880</v>
      </c>
      <c r="DF5" s="3827" t="s">
        <v>3881</v>
      </c>
      <c r="DG5" s="3827" t="s">
        <v>3882</v>
      </c>
      <c r="DH5" s="3827" t="s">
        <v>3883</v>
      </c>
      <c r="DI5" s="3827" t="s">
        <v>3884</v>
      </c>
      <c r="DJ5" s="3827" t="s">
        <v>846</v>
      </c>
      <c r="DK5" s="3827" t="s">
        <v>847</v>
      </c>
      <c r="DL5" s="3827" t="s">
        <v>848</v>
      </c>
      <c r="DM5" s="3827" t="s">
        <v>849</v>
      </c>
      <c r="DN5" s="3827" t="s">
        <v>850</v>
      </c>
      <c r="DO5" s="3827" t="s">
        <v>851</v>
      </c>
      <c r="DP5" s="3827" t="s">
        <v>852</v>
      </c>
      <c r="DQ5" s="3827" t="s">
        <v>853</v>
      </c>
      <c r="DR5" s="3827" t="s">
        <v>854</v>
      </c>
      <c r="DS5" s="3827" t="s">
        <v>855</v>
      </c>
      <c r="DT5" s="3827" t="s">
        <v>3885</v>
      </c>
      <c r="DU5" s="3827" t="s">
        <v>3886</v>
      </c>
      <c r="DV5" s="3827" t="s">
        <v>3887</v>
      </c>
      <c r="DW5" s="3827" t="s">
        <v>3888</v>
      </c>
      <c r="DX5" s="3827" t="s">
        <v>3889</v>
      </c>
      <c r="DY5" s="3827" t="s">
        <v>3890</v>
      </c>
      <c r="DZ5" s="3827" t="s">
        <v>3891</v>
      </c>
      <c r="EA5" s="3827" t="s">
        <v>3892</v>
      </c>
      <c r="EB5" s="3827" t="s">
        <v>3893</v>
      </c>
      <c r="EC5" s="3827" t="s">
        <v>3894</v>
      </c>
      <c r="ED5" s="3827" t="s">
        <v>2319</v>
      </c>
      <c r="EE5" s="3827" t="s">
        <v>2320</v>
      </c>
      <c r="EF5" s="3827" t="s">
        <v>2321</v>
      </c>
      <c r="EG5" s="3827" t="s">
        <v>2322</v>
      </c>
      <c r="EH5" s="3827" t="s">
        <v>2323</v>
      </c>
      <c r="EI5" s="3827" t="s">
        <v>3895</v>
      </c>
      <c r="EJ5" s="3827" t="s">
        <v>3896</v>
      </c>
      <c r="EK5" s="3827" t="s">
        <v>3897</v>
      </c>
      <c r="EL5" s="3827" t="s">
        <v>3898</v>
      </c>
      <c r="EM5" s="3827" t="s">
        <v>3899</v>
      </c>
      <c r="EN5" s="3827" t="s">
        <v>3900</v>
      </c>
      <c r="EO5" s="3827" t="s">
        <v>3901</v>
      </c>
      <c r="EP5" s="3827" t="s">
        <v>3902</v>
      </c>
      <c r="EQ5" s="3827" t="s">
        <v>3903</v>
      </c>
      <c r="ER5" s="3827" t="s">
        <v>3904</v>
      </c>
      <c r="ES5" s="3827" t="s">
        <v>110</v>
      </c>
      <c r="ET5" s="3827" t="s">
        <v>1109</v>
      </c>
      <c r="EU5" s="3827" t="s">
        <v>1110</v>
      </c>
      <c r="EV5" s="3827" t="s">
        <v>1167</v>
      </c>
      <c r="EW5" s="3827" t="s">
        <v>1168</v>
      </c>
      <c r="EX5" s="3827" t="s">
        <v>125</v>
      </c>
      <c r="EY5" s="3827" t="s">
        <v>1169</v>
      </c>
      <c r="EZ5" s="3827" t="s">
        <v>1170</v>
      </c>
      <c r="FA5" s="3827" t="s">
        <v>1171</v>
      </c>
      <c r="FB5" s="3827" t="s">
        <v>1172</v>
      </c>
      <c r="FC5" s="3827" t="s">
        <v>3905</v>
      </c>
      <c r="FD5" s="3827" t="s">
        <v>3906</v>
      </c>
      <c r="FE5" s="3827" t="s">
        <v>3907</v>
      </c>
      <c r="FF5" s="3827" t="s">
        <v>3908</v>
      </c>
      <c r="FG5" s="3827" t="s">
        <v>3909</v>
      </c>
      <c r="FH5" s="3827" t="s">
        <v>124</v>
      </c>
      <c r="FI5" s="3827" t="s">
        <v>877</v>
      </c>
      <c r="FJ5" s="3827" t="s">
        <v>878</v>
      </c>
      <c r="FK5" s="3827" t="s">
        <v>879</v>
      </c>
      <c r="FL5" s="3827" t="s">
        <v>880</v>
      </c>
      <c r="FM5" s="3827" t="s">
        <v>3910</v>
      </c>
      <c r="FN5" s="3827" t="s">
        <v>3911</v>
      </c>
      <c r="FO5" s="3827" t="s">
        <v>3912</v>
      </c>
      <c r="FP5" s="3827" t="s">
        <v>3913</v>
      </c>
      <c r="FQ5" s="3827" t="s">
        <v>3914</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6308</v>
      </c>
      <c r="D6" s="1585"/>
      <c r="E6" s="1585"/>
      <c r="F6" s="1585"/>
      <c r="G6" s="2851" t="s">
        <v>193</v>
      </c>
      <c r="H6" s="3929" t="s">
        <v>6310</v>
      </c>
      <c r="I6" s="3930"/>
      <c r="J6" s="3930"/>
      <c r="K6" s="1401" t="s">
        <v>3257</v>
      </c>
      <c r="L6" s="3829" t="str">
        <f>'Part I-Project Information'!$B$7</f>
        <v>2021 Core Application</v>
      </c>
      <c r="M6" s="3829"/>
      <c r="N6" s="3829"/>
      <c r="O6" s="1784" t="s">
        <v>6286</v>
      </c>
      <c r="P6" s="2852">
        <v>82700</v>
      </c>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3160</v>
      </c>
      <c r="ML6" s="3863" t="s">
        <v>3161</v>
      </c>
      <c r="MM6" s="3863" t="s">
        <v>3162</v>
      </c>
      <c r="MN6" s="3863" t="s">
        <v>3163</v>
      </c>
      <c r="MO6" s="3863" t="s">
        <v>3164</v>
      </c>
      <c r="MP6" s="3827" t="s">
        <v>6585</v>
      </c>
      <c r="MQ6" s="3827" t="s">
        <v>6586</v>
      </c>
      <c r="MR6" s="3827" t="s">
        <v>6587</v>
      </c>
      <c r="MS6" s="3827" t="s">
        <v>6588</v>
      </c>
      <c r="MT6" s="3827" t="s">
        <v>6589</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6309</v>
      </c>
      <c r="E7" s="4"/>
      <c r="G7" s="2853" t="s">
        <v>193</v>
      </c>
      <c r="I7" s="3856" t="s">
        <v>4277</v>
      </c>
      <c r="J7" s="1401" t="s">
        <v>765</v>
      </c>
      <c r="K7" s="1401" t="s">
        <v>3307</v>
      </c>
      <c r="L7" s="3829"/>
      <c r="M7" s="3829"/>
      <c r="N7" s="3829"/>
      <c r="O7" s="1785" t="s">
        <v>6285</v>
      </c>
      <c r="P7" s="2854">
        <v>44197</v>
      </c>
      <c r="Q7" s="3877"/>
      <c r="R7" s="3860" t="s">
        <v>2547</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3917</v>
      </c>
      <c r="C8" s="1"/>
      <c r="E8" s="1"/>
      <c r="F8" s="1"/>
      <c r="I8" s="3856"/>
      <c r="J8" s="1401" t="s">
        <v>766</v>
      </c>
      <c r="K8" s="1401" t="s">
        <v>3308</v>
      </c>
      <c r="L8" s="762"/>
      <c r="M8" s="762"/>
      <c r="N8" s="1783" t="s">
        <v>6805</v>
      </c>
      <c r="O8" s="3858" t="s">
        <v>6919</v>
      </c>
      <c r="P8" s="3859"/>
      <c r="Q8" s="3877"/>
      <c r="R8" s="763"/>
      <c r="S8" s="767" t="s">
        <v>2544</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3918</v>
      </c>
      <c r="C9" s="1401" t="s">
        <v>164</v>
      </c>
      <c r="D9" s="1401" t="s">
        <v>519</v>
      </c>
      <c r="E9" s="1401" t="s">
        <v>1417</v>
      </c>
      <c r="F9" s="1401" t="s">
        <v>1417</v>
      </c>
      <c r="G9" s="3856" t="s">
        <v>6305</v>
      </c>
      <c r="H9" s="2648" t="s">
        <v>3441</v>
      </c>
      <c r="I9" s="3856"/>
      <c r="J9" s="3852" t="s">
        <v>6296</v>
      </c>
      <c r="K9" s="1401" t="s">
        <v>2296</v>
      </c>
      <c r="L9" s="3861" t="s">
        <v>138</v>
      </c>
      <c r="M9" s="3862"/>
      <c r="N9" s="1401" t="s">
        <v>2262</v>
      </c>
      <c r="O9" s="1401" t="s">
        <v>6808</v>
      </c>
      <c r="P9" s="3854" t="s">
        <v>6533</v>
      </c>
      <c r="Q9" s="3877"/>
      <c r="R9" s="1401" t="s">
        <v>2543</v>
      </c>
      <c r="S9" s="1401" t="s">
        <v>2545</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2329</v>
      </c>
      <c r="IB9" s="1812" t="s">
        <v>2330</v>
      </c>
      <c r="IC9" s="1812" t="s">
        <v>2331</v>
      </c>
      <c r="ID9" s="1812" t="s">
        <v>2332</v>
      </c>
      <c r="IE9" s="3827" t="s">
        <v>2383</v>
      </c>
      <c r="IF9" s="3827" t="s">
        <v>2383</v>
      </c>
      <c r="IG9" s="3827" t="s">
        <v>2383</v>
      </c>
      <c r="IH9" s="3827" t="s">
        <v>2383</v>
      </c>
      <c r="II9" s="3827" t="s">
        <v>2383</v>
      </c>
      <c r="IJ9" s="3827" t="s">
        <v>3120</v>
      </c>
      <c r="IK9" s="3827" t="s">
        <v>3120</v>
      </c>
      <c r="IL9" s="3827" t="s">
        <v>3120</v>
      </c>
      <c r="IM9" s="3827" t="s">
        <v>3120</v>
      </c>
      <c r="IN9" s="3827" t="s">
        <v>3120</v>
      </c>
      <c r="IO9" s="1812" t="s">
        <v>539</v>
      </c>
      <c r="IP9" s="1812" t="s">
        <v>2329</v>
      </c>
      <c r="IQ9" s="1812" t="s">
        <v>2330</v>
      </c>
      <c r="IR9" s="1812" t="s">
        <v>2331</v>
      </c>
      <c r="IS9" s="1812" t="s">
        <v>2332</v>
      </c>
      <c r="IT9" s="1812" t="s">
        <v>539</v>
      </c>
      <c r="IU9" s="1812" t="s">
        <v>2329</v>
      </c>
      <c r="IV9" s="1812" t="s">
        <v>2330</v>
      </c>
      <c r="IW9" s="1812" t="s">
        <v>2331</v>
      </c>
      <c r="IX9" s="1812" t="s">
        <v>2332</v>
      </c>
      <c r="IY9" s="3827" t="s">
        <v>6590</v>
      </c>
      <c r="IZ9" s="3827" t="s">
        <v>6590</v>
      </c>
      <c r="JA9" s="3827" t="s">
        <v>6590</v>
      </c>
      <c r="JB9" s="3827" t="s">
        <v>6590</v>
      </c>
      <c r="JC9" s="3827" t="s">
        <v>6590</v>
      </c>
      <c r="JD9" s="3827" t="s">
        <v>6591</v>
      </c>
      <c r="JE9" s="3827" t="s">
        <v>6591</v>
      </c>
      <c r="JF9" s="3827" t="s">
        <v>6591</v>
      </c>
      <c r="JG9" s="3827" t="s">
        <v>6591</v>
      </c>
      <c r="JH9" s="3827" t="s">
        <v>6591</v>
      </c>
      <c r="JI9" s="3827" t="s">
        <v>6593</v>
      </c>
      <c r="JJ9" s="3827" t="s">
        <v>6593</v>
      </c>
      <c r="JK9" s="3827" t="s">
        <v>6593</v>
      </c>
      <c r="JL9" s="3827" t="s">
        <v>6593</v>
      </c>
      <c r="JM9" s="3827" t="s">
        <v>6593</v>
      </c>
      <c r="JN9" s="3827" t="s">
        <v>6594</v>
      </c>
      <c r="JO9" s="3827" t="s">
        <v>6594</v>
      </c>
      <c r="JP9" s="3827" t="s">
        <v>6594</v>
      </c>
      <c r="JQ9" s="3827" t="s">
        <v>6594</v>
      </c>
      <c r="JR9" s="3827" t="s">
        <v>6594</v>
      </c>
      <c r="JS9" s="3827" t="s">
        <v>6595</v>
      </c>
      <c r="JT9" s="3827" t="s">
        <v>6595</v>
      </c>
      <c r="JU9" s="3827" t="s">
        <v>6595</v>
      </c>
      <c r="JV9" s="3827" t="s">
        <v>6595</v>
      </c>
      <c r="JW9" s="3827" t="s">
        <v>6595</v>
      </c>
      <c r="JX9" s="3827" t="s">
        <v>6809</v>
      </c>
      <c r="JY9" s="3827" t="s">
        <v>6809</v>
      </c>
      <c r="JZ9" s="3827" t="s">
        <v>6809</v>
      </c>
      <c r="KA9" s="3827" t="s">
        <v>6809</v>
      </c>
      <c r="KB9" s="3827" t="s">
        <v>6809</v>
      </c>
      <c r="KC9" s="3827" t="s">
        <v>6826</v>
      </c>
      <c r="KD9" s="3827" t="s">
        <v>6826</v>
      </c>
      <c r="KE9" s="3827" t="s">
        <v>6826</v>
      </c>
      <c r="KF9" s="3827" t="s">
        <v>6826</v>
      </c>
      <c r="KG9" s="3827" t="s">
        <v>6826</v>
      </c>
      <c r="KH9" s="3827" t="s">
        <v>6827</v>
      </c>
      <c r="KI9" s="3827" t="s">
        <v>6827</v>
      </c>
      <c r="KJ9" s="3827" t="s">
        <v>6827</v>
      </c>
      <c r="KK9" s="3827" t="s">
        <v>6827</v>
      </c>
      <c r="KL9" s="3827" t="s">
        <v>6827</v>
      </c>
      <c r="KM9" s="3827" t="s">
        <v>6597</v>
      </c>
      <c r="KN9" s="3827" t="s">
        <v>6597</v>
      </c>
      <c r="KO9" s="3827" t="s">
        <v>6597</v>
      </c>
      <c r="KP9" s="3827" t="s">
        <v>6597</v>
      </c>
      <c r="KQ9" s="3827" t="s">
        <v>6597</v>
      </c>
      <c r="KR9" s="3827" t="s">
        <v>6810</v>
      </c>
      <c r="KS9" s="3827" t="s">
        <v>6810</v>
      </c>
      <c r="KT9" s="3827" t="s">
        <v>6810</v>
      </c>
      <c r="KU9" s="3827" t="s">
        <v>6810</v>
      </c>
      <c r="KV9" s="3827" t="s">
        <v>6810</v>
      </c>
      <c r="KW9" s="3827" t="s">
        <v>6828</v>
      </c>
      <c r="KX9" s="3827" t="s">
        <v>6828</v>
      </c>
      <c r="KY9" s="3827" t="s">
        <v>6828</v>
      </c>
      <c r="KZ9" s="3827" t="s">
        <v>6828</v>
      </c>
      <c r="LA9" s="3827" t="s">
        <v>6828</v>
      </c>
      <c r="LB9" s="3827" t="s">
        <v>6829</v>
      </c>
      <c r="LC9" s="3827" t="s">
        <v>6829</v>
      </c>
      <c r="LD9" s="3827" t="s">
        <v>6829</v>
      </c>
      <c r="LE9" s="3827" t="s">
        <v>6829</v>
      </c>
      <c r="LF9" s="3827" t="s">
        <v>6829</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4125</v>
      </c>
      <c r="C10" s="1401" t="s">
        <v>163</v>
      </c>
      <c r="D10" s="1401" t="s">
        <v>165</v>
      </c>
      <c r="E10" s="1401" t="s">
        <v>1418</v>
      </c>
      <c r="F10" s="1401" t="s">
        <v>1231</v>
      </c>
      <c r="G10" s="3857"/>
      <c r="H10" s="1401" t="s">
        <v>6306</v>
      </c>
      <c r="I10" s="3857"/>
      <c r="J10" s="3853"/>
      <c r="K10" s="431" t="s">
        <v>338</v>
      </c>
      <c r="L10" s="1401" t="s">
        <v>1469</v>
      </c>
      <c r="M10" s="1401" t="s">
        <v>513</v>
      </c>
      <c r="N10" s="1401" t="s">
        <v>1417</v>
      </c>
      <c r="O10" s="1401" t="s">
        <v>6825</v>
      </c>
      <c r="P10" s="3855"/>
      <c r="Q10" s="3878"/>
      <c r="R10" s="1401" t="s">
        <v>1419</v>
      </c>
      <c r="S10" s="1401" t="s">
        <v>2546</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2382</v>
      </c>
      <c r="IB10" s="1812" t="s">
        <v>2382</v>
      </c>
      <c r="IC10" s="1812" t="s">
        <v>2382</v>
      </c>
      <c r="ID10" s="1812" t="s">
        <v>2382</v>
      </c>
      <c r="IE10" s="3827"/>
      <c r="IF10" s="3827"/>
      <c r="IG10" s="3827"/>
      <c r="IH10" s="3827"/>
      <c r="II10" s="3827"/>
      <c r="IJ10" s="3827"/>
      <c r="IK10" s="3827"/>
      <c r="IL10" s="3827"/>
      <c r="IM10" s="3827"/>
      <c r="IN10" s="3827"/>
      <c r="IO10" s="1812" t="s">
        <v>2384</v>
      </c>
      <c r="IP10" s="1812" t="s">
        <v>2384</v>
      </c>
      <c r="IQ10" s="1812" t="s">
        <v>2384</v>
      </c>
      <c r="IR10" s="1812" t="s">
        <v>2384</v>
      </c>
      <c r="IS10" s="1812" t="s">
        <v>2384</v>
      </c>
      <c r="IT10" s="1812" t="s">
        <v>3121</v>
      </c>
      <c r="IU10" s="1812" t="s">
        <v>3121</v>
      </c>
      <c r="IV10" s="1812" t="s">
        <v>3121</v>
      </c>
      <c r="IW10" s="1812" t="s">
        <v>3121</v>
      </c>
      <c r="IX10" s="1812" t="s">
        <v>3121</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6717</v>
      </c>
    </row>
    <row r="12" spans="1:493" ht="14.1"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6718</v>
      </c>
    </row>
    <row r="13" spans="1:493" ht="14.1"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6719</v>
      </c>
    </row>
    <row r="14" spans="1:493" ht="14.1"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6720</v>
      </c>
    </row>
    <row r="15" spans="1:493" ht="14.1"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6721</v>
      </c>
    </row>
    <row r="16" spans="1:493" ht="14.1"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6722</v>
      </c>
    </row>
    <row r="17" spans="1:380" ht="14.1"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6723</v>
      </c>
    </row>
    <row r="18" spans="1:380" ht="14.1" customHeight="1">
      <c r="A18" s="108" t="str">
        <f t="shared" si="327"/>
        <v/>
      </c>
      <c r="B18" s="2887">
        <v>50</v>
      </c>
      <c r="C18" s="2888">
        <v>1</v>
      </c>
      <c r="D18" s="2889">
        <v>1</v>
      </c>
      <c r="E18" s="2890">
        <v>4</v>
      </c>
      <c r="F18" s="2890">
        <v>750</v>
      </c>
      <c r="G18" s="2890">
        <v>775</v>
      </c>
      <c r="H18" s="2890">
        <v>753</v>
      </c>
      <c r="I18" s="2890">
        <v>0</v>
      </c>
      <c r="J18" s="2891">
        <f>IF(C18="",0,HLOOKUP(C18,'Part V-Utility Allowances'!$I$11:$M$22,12))</f>
        <v>129</v>
      </c>
      <c r="K18" s="2892"/>
      <c r="L18" s="1188">
        <f t="shared" si="0"/>
        <v>624</v>
      </c>
      <c r="M18" s="1188">
        <f t="shared" si="1"/>
        <v>2496</v>
      </c>
      <c r="N18" s="2893" t="s">
        <v>2772</v>
      </c>
      <c r="O18" s="2894" t="s">
        <v>6917</v>
      </c>
      <c r="P18" s="2893" t="s">
        <v>2192</v>
      </c>
      <c r="Q18" s="2895" t="s">
        <v>2769</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3000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f t="shared" si="273"/>
        <v>4</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6724</v>
      </c>
    </row>
    <row r="19" spans="1:380" ht="14.1" customHeight="1">
      <c r="A19" s="108" t="str">
        <f t="shared" si="327"/>
        <v/>
      </c>
      <c r="B19" s="2896">
        <v>50</v>
      </c>
      <c r="C19" s="2869">
        <v>2</v>
      </c>
      <c r="D19" s="2870">
        <v>1</v>
      </c>
      <c r="E19" s="2871">
        <v>21</v>
      </c>
      <c r="F19" s="2871">
        <v>950</v>
      </c>
      <c r="G19" s="2871">
        <v>931</v>
      </c>
      <c r="H19" s="2871">
        <v>903</v>
      </c>
      <c r="I19" s="2871">
        <v>0</v>
      </c>
      <c r="J19" s="2897">
        <f>IF(C19="",0,HLOOKUP(C19,'Part V-Utility Allowances'!$I$11:$M$22,12))</f>
        <v>167</v>
      </c>
      <c r="K19" s="2873"/>
      <c r="L19" s="537">
        <f t="shared" si="0"/>
        <v>736</v>
      </c>
      <c r="M19" s="537">
        <f t="shared" si="1"/>
        <v>15456</v>
      </c>
      <c r="N19" s="2712" t="s">
        <v>2772</v>
      </c>
      <c r="O19" s="2874" t="s">
        <v>6917</v>
      </c>
      <c r="P19" s="2712" t="s">
        <v>2192</v>
      </c>
      <c r="Q19" s="2875" t="s">
        <v>2769</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21</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19950</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21</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21</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f t="shared" si="274"/>
        <v>21</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21</v>
      </c>
      <c r="MN19" s="1815">
        <f t="shared" si="336"/>
        <v>0</v>
      </c>
      <c r="MO19" s="1815">
        <f t="shared" si="337"/>
        <v>0</v>
      </c>
      <c r="MP19" s="1815">
        <f t="shared" si="322"/>
        <v>0</v>
      </c>
      <c r="MQ19" s="1815">
        <f t="shared" si="323"/>
        <v>0</v>
      </c>
      <c r="MR19" s="1815">
        <f t="shared" si="324"/>
        <v>0</v>
      </c>
      <c r="MS19" s="1815">
        <f t="shared" si="325"/>
        <v>0</v>
      </c>
      <c r="MT19" s="1815">
        <f t="shared" si="326"/>
        <v>0</v>
      </c>
      <c r="NP19" s="2807" t="s">
        <v>6725</v>
      </c>
    </row>
    <row r="20" spans="1:380" ht="14.1" customHeight="1">
      <c r="A20" s="108" t="str">
        <f t="shared" si="327"/>
        <v/>
      </c>
      <c r="B20" s="2896">
        <v>50</v>
      </c>
      <c r="C20" s="2869">
        <v>3</v>
      </c>
      <c r="D20" s="2870">
        <v>2</v>
      </c>
      <c r="E20" s="2871">
        <v>2</v>
      </c>
      <c r="F20" s="2871">
        <v>1150</v>
      </c>
      <c r="G20" s="2871">
        <v>1075</v>
      </c>
      <c r="H20" s="2871">
        <v>1040</v>
      </c>
      <c r="I20" s="2871">
        <v>0</v>
      </c>
      <c r="J20" s="2897">
        <f>IF(C20="",0,HLOOKUP(C20,'Part V-Utility Allowances'!$I$11:$M$22,12))</f>
        <v>199</v>
      </c>
      <c r="K20" s="2873"/>
      <c r="L20" s="537">
        <f t="shared" si="0"/>
        <v>841</v>
      </c>
      <c r="M20" s="537">
        <f t="shared" si="1"/>
        <v>1682</v>
      </c>
      <c r="N20" s="2712" t="s">
        <v>2772</v>
      </c>
      <c r="O20" s="2874" t="s">
        <v>6917</v>
      </c>
      <c r="P20" s="2712" t="s">
        <v>2192</v>
      </c>
      <c r="Q20" s="2875" t="s">
        <v>2769</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2</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2300</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2</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2</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f t="shared" si="275"/>
        <v>2</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2</v>
      </c>
      <c r="MO20" s="1815">
        <f t="shared" si="337"/>
        <v>0</v>
      </c>
      <c r="MP20" s="1815">
        <f t="shared" si="322"/>
        <v>0</v>
      </c>
      <c r="MQ20" s="1815">
        <f t="shared" si="323"/>
        <v>0</v>
      </c>
      <c r="MR20" s="1815">
        <f t="shared" si="324"/>
        <v>0</v>
      </c>
      <c r="MS20" s="1815">
        <f t="shared" si="325"/>
        <v>0</v>
      </c>
      <c r="MT20" s="1815">
        <f t="shared" si="326"/>
        <v>0</v>
      </c>
      <c r="NP20" s="2807" t="s">
        <v>6726</v>
      </c>
    </row>
    <row r="21" spans="1:380" ht="14.1" customHeight="1">
      <c r="A21" s="108" t="str">
        <f t="shared" si="327"/>
        <v/>
      </c>
      <c r="B21" s="2896">
        <v>60</v>
      </c>
      <c r="C21" s="2869">
        <v>1</v>
      </c>
      <c r="D21" s="2870">
        <v>1</v>
      </c>
      <c r="E21" s="2871">
        <v>8</v>
      </c>
      <c r="F21" s="2871">
        <v>750</v>
      </c>
      <c r="G21" s="2871">
        <v>930</v>
      </c>
      <c r="H21" s="2871">
        <v>908</v>
      </c>
      <c r="I21" s="2871">
        <v>0</v>
      </c>
      <c r="J21" s="2897">
        <f>IF(C21="",0,HLOOKUP(C21,'Part V-Utility Allowances'!$I$11:$M$22,12))</f>
        <v>129</v>
      </c>
      <c r="K21" s="2873"/>
      <c r="L21" s="537">
        <f t="shared" si="0"/>
        <v>779</v>
      </c>
      <c r="M21" s="537">
        <f t="shared" si="1"/>
        <v>6232</v>
      </c>
      <c r="N21" s="2712" t="s">
        <v>2772</v>
      </c>
      <c r="O21" s="2874" t="s">
        <v>6917</v>
      </c>
      <c r="P21" s="2712" t="s">
        <v>2192</v>
      </c>
      <c r="Q21" s="2875" t="s">
        <v>2769</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8</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6000</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8</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8</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f t="shared" si="273"/>
        <v>8</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8</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6727</v>
      </c>
    </row>
    <row r="22" spans="1:380" ht="14.1" customHeight="1">
      <c r="A22" s="108" t="str">
        <f t="shared" si="327"/>
        <v/>
      </c>
      <c r="B22" s="2896">
        <v>60</v>
      </c>
      <c r="C22" s="2869">
        <v>2</v>
      </c>
      <c r="D22" s="2870">
        <v>1</v>
      </c>
      <c r="E22" s="2871">
        <v>42</v>
      </c>
      <c r="F22" s="2871">
        <v>950</v>
      </c>
      <c r="G22" s="2871">
        <v>1117</v>
      </c>
      <c r="H22" s="2871">
        <v>1089</v>
      </c>
      <c r="I22" s="2871">
        <v>0</v>
      </c>
      <c r="J22" s="2897">
        <f>IF(C22="",0,HLOOKUP(C22,'Part V-Utility Allowances'!$I$11:$M$22,12))</f>
        <v>167</v>
      </c>
      <c r="K22" s="2873"/>
      <c r="L22" s="537">
        <f t="shared" si="0"/>
        <v>922</v>
      </c>
      <c r="M22" s="537">
        <f t="shared" si="1"/>
        <v>38724</v>
      </c>
      <c r="N22" s="2712" t="s">
        <v>2772</v>
      </c>
      <c r="O22" s="2874" t="s">
        <v>6917</v>
      </c>
      <c r="P22" s="2712" t="s">
        <v>2192</v>
      </c>
      <c r="Q22" s="2875" t="s">
        <v>2769</v>
      </c>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42</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39900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42</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42</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f t="shared" si="274"/>
        <v>42</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42</v>
      </c>
      <c r="MN22" s="1815">
        <f t="shared" si="336"/>
        <v>0</v>
      </c>
      <c r="MO22" s="1815">
        <f t="shared" si="337"/>
        <v>0</v>
      </c>
      <c r="MP22" s="1815">
        <f t="shared" si="322"/>
        <v>0</v>
      </c>
      <c r="MQ22" s="1815">
        <f t="shared" si="323"/>
        <v>0</v>
      </c>
      <c r="MR22" s="1815">
        <f t="shared" si="324"/>
        <v>0</v>
      </c>
      <c r="MS22" s="1815">
        <f t="shared" si="325"/>
        <v>0</v>
      </c>
      <c r="MT22" s="1815">
        <f t="shared" si="326"/>
        <v>0</v>
      </c>
      <c r="NP22" s="2807" t="s">
        <v>6728</v>
      </c>
    </row>
    <row r="23" spans="1:380" ht="14.1" customHeight="1">
      <c r="A23" s="108" t="str">
        <f t="shared" si="327"/>
        <v/>
      </c>
      <c r="B23" s="2896">
        <v>60</v>
      </c>
      <c r="C23" s="2869">
        <v>3</v>
      </c>
      <c r="D23" s="2870">
        <v>2</v>
      </c>
      <c r="E23" s="2871">
        <v>3</v>
      </c>
      <c r="F23" s="2871">
        <v>1150</v>
      </c>
      <c r="G23" s="2871">
        <v>1290</v>
      </c>
      <c r="H23" s="2871">
        <v>1255</v>
      </c>
      <c r="I23" s="2871">
        <v>0</v>
      </c>
      <c r="J23" s="2897">
        <f>IF(C23="",0,HLOOKUP(C23,'Part V-Utility Allowances'!$I$11:$M$22,12))</f>
        <v>199</v>
      </c>
      <c r="K23" s="2873"/>
      <c r="L23" s="537">
        <f t="shared" si="0"/>
        <v>1056</v>
      </c>
      <c r="M23" s="537">
        <f t="shared" si="1"/>
        <v>3168</v>
      </c>
      <c r="N23" s="2712" t="s">
        <v>2772</v>
      </c>
      <c r="O23" s="2874" t="s">
        <v>6917</v>
      </c>
      <c r="P23" s="2712" t="s">
        <v>2192</v>
      </c>
      <c r="Q23" s="2875" t="s">
        <v>2769</v>
      </c>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3</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3450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3</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3</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f t="shared" si="275"/>
        <v>3</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3</v>
      </c>
      <c r="MO23" s="1815">
        <f t="shared" si="337"/>
        <v>0</v>
      </c>
      <c r="MP23" s="1815">
        <f t="shared" si="322"/>
        <v>0</v>
      </c>
      <c r="MQ23" s="1815">
        <f t="shared" si="323"/>
        <v>0</v>
      </c>
      <c r="MR23" s="1815">
        <f t="shared" si="324"/>
        <v>0</v>
      </c>
      <c r="MS23" s="1815">
        <f t="shared" si="325"/>
        <v>0</v>
      </c>
      <c r="MT23" s="1815">
        <f t="shared" si="326"/>
        <v>0</v>
      </c>
      <c r="NP23" s="2807" t="s">
        <v>6729</v>
      </c>
    </row>
    <row r="24" spans="1:380" ht="14.1" customHeight="1">
      <c r="A24" s="108" t="str">
        <f t="shared" si="327"/>
        <v/>
      </c>
      <c r="B24" s="2896">
        <v>70</v>
      </c>
      <c r="C24" s="2869">
        <v>1</v>
      </c>
      <c r="D24" s="2870">
        <v>1</v>
      </c>
      <c r="E24" s="2871">
        <v>2</v>
      </c>
      <c r="F24" s="2871">
        <v>750</v>
      </c>
      <c r="G24" s="2871">
        <v>1085</v>
      </c>
      <c r="H24" s="2871">
        <v>1063</v>
      </c>
      <c r="I24" s="2871">
        <v>0</v>
      </c>
      <c r="J24" s="2897">
        <f>IF(C24="",0,HLOOKUP(C24,'Part V-Utility Allowances'!$I$11:$M$22,12))</f>
        <v>129</v>
      </c>
      <c r="K24" s="2873"/>
      <c r="L24" s="537">
        <f t="shared" si="0"/>
        <v>934</v>
      </c>
      <c r="M24" s="537">
        <f t="shared" si="1"/>
        <v>1868</v>
      </c>
      <c r="N24" s="2712" t="s">
        <v>2772</v>
      </c>
      <c r="O24" s="2874" t="s">
        <v>6917</v>
      </c>
      <c r="P24" s="2712" t="s">
        <v>2192</v>
      </c>
      <c r="Q24" s="2875" t="s">
        <v>2769</v>
      </c>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f t="shared" si="8"/>
        <v>2</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f t="shared" si="123"/>
        <v>1500</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f t="shared" si="168"/>
        <v>2</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f t="shared" si="213"/>
        <v>2</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f t="shared" si="273"/>
        <v>2</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2</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6730</v>
      </c>
    </row>
    <row r="25" spans="1:380" ht="14.1" customHeight="1">
      <c r="A25" s="108" t="str">
        <f t="shared" si="327"/>
        <v/>
      </c>
      <c r="B25" s="2896">
        <v>70</v>
      </c>
      <c r="C25" s="2869">
        <v>2</v>
      </c>
      <c r="D25" s="2870">
        <v>1</v>
      </c>
      <c r="E25" s="2871">
        <v>6</v>
      </c>
      <c r="F25" s="2871">
        <v>950</v>
      </c>
      <c r="G25" s="2871">
        <v>1303</v>
      </c>
      <c r="H25" s="2871">
        <v>1275</v>
      </c>
      <c r="I25" s="2871">
        <v>0</v>
      </c>
      <c r="J25" s="2897">
        <f>IF(C25="",0,HLOOKUP(C25,'Part V-Utility Allowances'!$I$11:$M$22,12))</f>
        <v>167</v>
      </c>
      <c r="K25" s="2873"/>
      <c r="L25" s="537">
        <f t="shared" si="0"/>
        <v>1108</v>
      </c>
      <c r="M25" s="537">
        <f t="shared" si="1"/>
        <v>6648</v>
      </c>
      <c r="N25" s="2712" t="s">
        <v>2772</v>
      </c>
      <c r="O25" s="2874" t="s">
        <v>6917</v>
      </c>
      <c r="P25" s="2712" t="s">
        <v>2192</v>
      </c>
      <c r="Q25" s="2875" t="s">
        <v>2769</v>
      </c>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f t="shared" si="9"/>
        <v>6</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f t="shared" si="124"/>
        <v>5700</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f t="shared" si="169"/>
        <v>6</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f t="shared" si="214"/>
        <v>6</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f t="shared" si="274"/>
        <v>6</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6</v>
      </c>
      <c r="MN25" s="1815">
        <f t="shared" si="336"/>
        <v>0</v>
      </c>
      <c r="MO25" s="1815">
        <f t="shared" si="337"/>
        <v>0</v>
      </c>
      <c r="MP25" s="1815">
        <f t="shared" si="322"/>
        <v>0</v>
      </c>
      <c r="MQ25" s="1815">
        <f t="shared" si="323"/>
        <v>0</v>
      </c>
      <c r="MR25" s="1815">
        <f t="shared" si="324"/>
        <v>0</v>
      </c>
      <c r="MS25" s="1815">
        <f t="shared" si="325"/>
        <v>0</v>
      </c>
      <c r="MT25" s="1815">
        <f t="shared" si="326"/>
        <v>0</v>
      </c>
      <c r="NP25" s="2807" t="s">
        <v>6731</v>
      </c>
    </row>
    <row r="26" spans="1:380" ht="14.1" customHeight="1">
      <c r="A26" s="108" t="str">
        <f t="shared" si="327"/>
        <v/>
      </c>
      <c r="B26" s="2896">
        <v>70</v>
      </c>
      <c r="C26" s="2869">
        <v>3</v>
      </c>
      <c r="D26" s="2870">
        <v>2</v>
      </c>
      <c r="E26" s="2871">
        <v>1</v>
      </c>
      <c r="F26" s="2871">
        <v>1150</v>
      </c>
      <c r="G26" s="2871">
        <v>1505</v>
      </c>
      <c r="H26" s="2871">
        <v>1470</v>
      </c>
      <c r="I26" s="2871">
        <v>0</v>
      </c>
      <c r="J26" s="2897">
        <f>IF(C26="",0,HLOOKUP(C26,'Part V-Utility Allowances'!$I$11:$M$22,12))</f>
        <v>199</v>
      </c>
      <c r="K26" s="2873"/>
      <c r="L26" s="537">
        <f t="shared" si="0"/>
        <v>1271</v>
      </c>
      <c r="M26" s="537">
        <f t="shared" si="1"/>
        <v>1271</v>
      </c>
      <c r="N26" s="2712" t="s">
        <v>2772</v>
      </c>
      <c r="O26" s="2874" t="s">
        <v>6917</v>
      </c>
      <c r="P26" s="2712" t="s">
        <v>2192</v>
      </c>
      <c r="Q26" s="2875" t="s">
        <v>2769</v>
      </c>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1</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1150</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1</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1</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f t="shared" si="275"/>
        <v>1</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1</v>
      </c>
      <c r="MO26" s="1815">
        <f t="shared" si="337"/>
        <v>0</v>
      </c>
      <c r="MP26" s="1815">
        <f t="shared" si="322"/>
        <v>0</v>
      </c>
      <c r="MQ26" s="1815">
        <f t="shared" si="323"/>
        <v>0</v>
      </c>
      <c r="MR26" s="1815">
        <f t="shared" si="324"/>
        <v>0</v>
      </c>
      <c r="MS26" s="1815">
        <f t="shared" si="325"/>
        <v>0</v>
      </c>
      <c r="MT26" s="1815">
        <f t="shared" si="326"/>
        <v>0</v>
      </c>
      <c r="NP26" s="2807" t="s">
        <v>6732</v>
      </c>
    </row>
    <row r="27" spans="1:380" ht="14.1"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6733</v>
      </c>
    </row>
    <row r="28" spans="1:380" ht="14.1"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6734</v>
      </c>
    </row>
    <row r="29" spans="1:380" ht="14.1"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6735</v>
      </c>
    </row>
    <row r="30" spans="1:380" ht="14.1"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6736</v>
      </c>
    </row>
    <row r="31" spans="1:380" ht="14.1"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6737</v>
      </c>
    </row>
    <row r="32" spans="1:380" ht="14.1"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6738</v>
      </c>
    </row>
    <row r="33" spans="1:380" ht="14.1"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6739</v>
      </c>
    </row>
    <row r="34" spans="1:380" ht="14.1"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6740</v>
      </c>
    </row>
    <row r="35" spans="1:380" ht="14.1"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6741</v>
      </c>
    </row>
    <row r="36" spans="1:380" ht="14.1"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6742</v>
      </c>
    </row>
    <row r="37" spans="1:380" ht="14.1"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6743</v>
      </c>
    </row>
    <row r="38" spans="1:380" ht="14.1"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6744</v>
      </c>
    </row>
    <row r="39" spans="1:380" ht="14.1"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6745</v>
      </c>
    </row>
    <row r="40" spans="1:380" ht="14.1"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6746</v>
      </c>
    </row>
    <row r="41" spans="1:380" ht="14.1"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6747</v>
      </c>
    </row>
    <row r="42" spans="1:380" ht="14.1"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6748</v>
      </c>
    </row>
    <row r="43" spans="1:380" ht="14.1"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6749</v>
      </c>
    </row>
    <row r="44" spans="1:380" ht="14.1"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6750</v>
      </c>
    </row>
    <row r="45" spans="1:380" ht="14.1"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6751</v>
      </c>
    </row>
    <row r="46" spans="1:380" ht="14.1"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6752</v>
      </c>
    </row>
    <row r="47" spans="1:380" ht="14.1"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6753</v>
      </c>
    </row>
    <row r="48" spans="1:380" ht="14.1"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6754</v>
      </c>
    </row>
    <row r="49" spans="1:380" s="146" customFormat="1" ht="14.1" customHeight="1">
      <c r="A49" s="1500">
        <f>COUNT(A11,A12,A13,A14,A15,A16,A17,A18,A19,A20,A21,A22,A23,A24,A25,A26,A27,A28,A29,A30,A31,A32,A33,A34,A35,A36,A37,A38,A39,A40)</f>
        <v>0</v>
      </c>
      <c r="B49" s="3865" t="s">
        <v>3922</v>
      </c>
      <c r="C49" s="3866"/>
      <c r="D49" s="137" t="s">
        <v>979</v>
      </c>
      <c r="E49" s="1194">
        <f>SUM(E11:E48)</f>
        <v>89</v>
      </c>
      <c r="F49" s="1192">
        <f>(E11*F11+E12*F12+E13*F13+E14*F14+E15*F15+E16*F16+E17*F17+E18*F18+E19*F19+E20*F20+E21*F21+E22*F22+E23*F23+E24*F24+E25*F25+E26*F26+E27*F27+E28*F28+E29*F29+E30*F30+E31*F31+E32*F32+E33*F33+E34*F34+E35*F35+E36*F36+E37*F37+E38*F38+E39*F39+E40*F40+E41*F41+E42*F42+E43*F43+E44*F44+E45*F45+E46*F46+E47*F47+E48*F48)</f>
        <v>82950</v>
      </c>
      <c r="H49" s="3921" t="s">
        <v>3919</v>
      </c>
      <c r="I49" s="2907" t="s">
        <v>3920</v>
      </c>
      <c r="J49" s="1195" t="str">
        <f>IF(P67=0,"",IF(SUM(P58:P62)/P67&gt;=0.4,"Pass","Fail"))</f>
        <v>Pass</v>
      </c>
      <c r="K49" s="521"/>
      <c r="L49" s="794" t="s">
        <v>1254</v>
      </c>
      <c r="M49" s="122">
        <f>SUM(M11:M48)</f>
        <v>77545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2</v>
      </c>
      <c r="AE49" s="1816">
        <f t="shared" si="339"/>
        <v>6</v>
      </c>
      <c r="AF49" s="1816">
        <f t="shared" si="339"/>
        <v>1</v>
      </c>
      <c r="AG49" s="1816">
        <f t="shared" si="339"/>
        <v>0</v>
      </c>
      <c r="AH49" s="1816">
        <f t="shared" si="339"/>
        <v>0</v>
      </c>
      <c r="AI49" s="1816">
        <f t="shared" si="339"/>
        <v>8</v>
      </c>
      <c r="AJ49" s="1816">
        <f t="shared" si="339"/>
        <v>42</v>
      </c>
      <c r="AK49" s="1816">
        <f t="shared" si="339"/>
        <v>3</v>
      </c>
      <c r="AL49" s="1816">
        <f t="shared" si="339"/>
        <v>0</v>
      </c>
      <c r="AM49" s="1816">
        <f>SUM(AM11:AM48)</f>
        <v>0</v>
      </c>
      <c r="AN49" s="1816">
        <f>SUM(AN11:AN48)</f>
        <v>4</v>
      </c>
      <c r="AO49" s="1816">
        <f>SUM(AO11:AO48)</f>
        <v>21</v>
      </c>
      <c r="AP49" s="1816">
        <f>SUM(AP11:AP48)</f>
        <v>2</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1500</v>
      </c>
      <c r="EP49" s="1816">
        <f t="shared" si="342"/>
        <v>5700</v>
      </c>
      <c r="EQ49" s="1816">
        <f t="shared" si="342"/>
        <v>1150</v>
      </c>
      <c r="ER49" s="1816">
        <f t="shared" si="342"/>
        <v>0</v>
      </c>
      <c r="ES49" s="1816">
        <f t="shared" si="342"/>
        <v>0</v>
      </c>
      <c r="ET49" s="1816">
        <f t="shared" si="342"/>
        <v>6000</v>
      </c>
      <c r="EU49" s="1816">
        <f t="shared" si="342"/>
        <v>39900</v>
      </c>
      <c r="EV49" s="1816">
        <f t="shared" si="342"/>
        <v>3450</v>
      </c>
      <c r="EW49" s="1816">
        <f t="shared" si="342"/>
        <v>0</v>
      </c>
      <c r="EX49" s="1816">
        <f t="shared" si="338"/>
        <v>0</v>
      </c>
      <c r="EY49" s="1816">
        <f t="shared" si="338"/>
        <v>3000</v>
      </c>
      <c r="EZ49" s="1816">
        <f t="shared" si="338"/>
        <v>19950</v>
      </c>
      <c r="FA49" s="1816">
        <f t="shared" si="338"/>
        <v>2300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14</v>
      </c>
      <c r="GI49" s="1816">
        <f t="shared" si="343"/>
        <v>69</v>
      </c>
      <c r="GJ49" s="1816">
        <f t="shared" si="343"/>
        <v>6</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14</v>
      </c>
      <c r="IB49" s="1816">
        <f t="shared" si="344"/>
        <v>69</v>
      </c>
      <c r="IC49" s="1816">
        <f t="shared" si="344"/>
        <v>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14</v>
      </c>
      <c r="KJ49" s="1816">
        <f t="shared" si="346"/>
        <v>69</v>
      </c>
      <c r="KK49" s="1816">
        <f t="shared" si="346"/>
        <v>6</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14</v>
      </c>
      <c r="MM49" s="1816">
        <f t="shared" si="350"/>
        <v>69</v>
      </c>
      <c r="MN49" s="1816">
        <f t="shared" si="350"/>
        <v>6</v>
      </c>
      <c r="MO49" s="1816">
        <f t="shared" si="350"/>
        <v>0</v>
      </c>
      <c r="MP49" s="1816">
        <f t="shared" si="350"/>
        <v>0</v>
      </c>
      <c r="MQ49" s="1816">
        <f t="shared" si="350"/>
        <v>0</v>
      </c>
      <c r="MR49" s="1816">
        <f t="shared" si="350"/>
        <v>0</v>
      </c>
      <c r="MS49" s="1816">
        <f t="shared" si="350"/>
        <v>0</v>
      </c>
      <c r="MT49" s="1816">
        <f t="shared" si="350"/>
        <v>0</v>
      </c>
      <c r="MU49" s="1816">
        <f t="shared" si="350"/>
        <v>0</v>
      </c>
      <c r="NP49" s="2807" t="s">
        <v>6755</v>
      </c>
    </row>
    <row r="50" spans="1:380" s="146" customFormat="1" ht="14.1" customHeight="1">
      <c r="B50" s="3867">
        <f>IF(SUM(E18:E48)=0,"",(B18*E18+B19*E19+B20*E20+B21*E21+B22*E22+B23*E23+B24*E24+B25*E25+B26*E26+B27*E27+B28*E28+B29*E29+B30*E30+B31*E31+B32*E32+B33*E33+B34*E34+B35*E35+B36*E36+B37*E37+B38*E38+B39*E39+B40*E40+B41*E41+B42*E42+B43*E43+B44*E44+B45*E45+B46*E46+B47*E47+B48*E48)/SUM(E18:E48))</f>
        <v>57.977528089887642</v>
      </c>
      <c r="C50" s="3868"/>
      <c r="D50" s="2650" t="s">
        <v>3829</v>
      </c>
      <c r="E50" s="1191">
        <f>SUM(E18:E48)</f>
        <v>89</v>
      </c>
      <c r="F50" s="1193">
        <f>(E18*F18+E19*F19+E20*F20+E21*F21+E22*F22+E23*F23+E24*F24+E25*F25+E26*F26+E27*F27+E28*F28+E29*F29+E30*F30+E31*F31+E32*F32+E33*F33+E34*F34+E35*F35+E36*F36+E37*F37+E38*F38+E39*F39+E40*F40+E41*F41+E42*F42+E43*F43+E44*F44+E45*F45+E46*F46+E47*F47+E48*F48)</f>
        <v>82950</v>
      </c>
      <c r="H50" s="3922"/>
      <c r="I50" s="2908" t="s">
        <v>3921</v>
      </c>
      <c r="J50" s="1196" t="str">
        <f>IF(P67=0,"",IF(SUM(P59:P62)/P67&gt;=0.2,"Pass","Fail"))</f>
        <v>Pass</v>
      </c>
      <c r="K50" s="521"/>
      <c r="L50" s="137" t="s">
        <v>781</v>
      </c>
      <c r="M50" s="122">
        <f>M49*12</f>
        <v>930540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6756</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Income Averaging</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6819</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4283</v>
      </c>
      <c r="B56" s="3917"/>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45" t="s">
        <v>3309</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3831</v>
      </c>
      <c r="I57" s="36"/>
      <c r="J57" s="82"/>
      <c r="K57" s="1203">
        <f>AC49</f>
        <v>0</v>
      </c>
      <c r="L57" s="1204">
        <f>AD49</f>
        <v>2</v>
      </c>
      <c r="M57" s="1204">
        <f>AE49</f>
        <v>6</v>
      </c>
      <c r="N57" s="1204">
        <f>AF49</f>
        <v>1</v>
      </c>
      <c r="O57" s="1205">
        <f>AG49</f>
        <v>0</v>
      </c>
      <c r="P57" s="833">
        <f t="shared" si="351"/>
        <v>9</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8</v>
      </c>
      <c r="M58" s="1204">
        <f>AJ49</f>
        <v>42</v>
      </c>
      <c r="N58" s="1204">
        <f>AK49</f>
        <v>3</v>
      </c>
      <c r="O58" s="1205">
        <f>AL49</f>
        <v>0</v>
      </c>
      <c r="P58" s="833">
        <f t="shared" si="351"/>
        <v>53</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4</v>
      </c>
      <c r="M59" s="1225">
        <f>AO49</f>
        <v>21</v>
      </c>
      <c r="N59" s="1225">
        <f>AP49</f>
        <v>2</v>
      </c>
      <c r="O59" s="1226">
        <f>AQ49</f>
        <v>0</v>
      </c>
      <c r="P59" s="542">
        <f t="shared" si="351"/>
        <v>27</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3832</v>
      </c>
      <c r="I60" s="52"/>
      <c r="J60" s="982"/>
      <c r="K60" s="1203">
        <f>AR49</f>
        <v>0</v>
      </c>
      <c r="L60" s="1204">
        <f>AS49</f>
        <v>0</v>
      </c>
      <c r="M60" s="1204">
        <f>AT49</f>
        <v>0</v>
      </c>
      <c r="N60" s="1204">
        <f>AU49</f>
        <v>0</v>
      </c>
      <c r="O60" s="1205">
        <f>AV49</f>
        <v>0</v>
      </c>
      <c r="P60" s="833">
        <f t="shared" si="351"/>
        <v>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3833</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3834</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3916</v>
      </c>
      <c r="D63" s="1"/>
      <c r="E63" s="1"/>
      <c r="F63" s="1"/>
      <c r="G63" s="82"/>
      <c r="H63" s="89"/>
      <c r="I63" s="55"/>
      <c r="J63" s="82"/>
      <c r="K63" s="1180">
        <f>SUM(K56:K62)</f>
        <v>0</v>
      </c>
      <c r="L63" s="1180">
        <f>SUM(L56:L62)</f>
        <v>14</v>
      </c>
      <c r="M63" s="1180">
        <f>SUM(M56:M62)</f>
        <v>69</v>
      </c>
      <c r="N63" s="1180">
        <f>SUM(N56:N62)</f>
        <v>6</v>
      </c>
      <c r="O63" s="1180">
        <f>SUM(O56:O62)</f>
        <v>0</v>
      </c>
      <c r="P63" s="1180">
        <f t="shared" si="351"/>
        <v>89</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0</v>
      </c>
      <c r="N64" s="834">
        <f>BJ49</f>
        <v>0</v>
      </c>
      <c r="O64" s="834">
        <f>BK49</f>
        <v>0</v>
      </c>
      <c r="P64" s="834">
        <f t="shared" si="351"/>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14</v>
      </c>
      <c r="M65" s="1187">
        <f>SUM(M63:M64)</f>
        <v>69</v>
      </c>
      <c r="N65" s="1187">
        <f>SUM(N63:N64)</f>
        <v>6</v>
      </c>
      <c r="O65" s="1187">
        <f>SUM(O63:O64)</f>
        <v>0</v>
      </c>
      <c r="P65" s="1187">
        <f t="shared" si="351"/>
        <v>89</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14</v>
      </c>
      <c r="M67" s="1179">
        <f>SUM(M65:M66)</f>
        <v>69</v>
      </c>
      <c r="N67" s="1179">
        <f>SUM(N65:N66)</f>
        <v>6</v>
      </c>
      <c r="O67" s="1179">
        <f>SUM(O65:O66)</f>
        <v>0</v>
      </c>
      <c r="P67" s="1179">
        <f t="shared" si="351"/>
        <v>89</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350000000000001"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3927</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35" customHeight="1">
      <c r="A70" s="3917"/>
      <c r="B70" s="3917"/>
      <c r="C70" s="3864"/>
      <c r="D70" s="3864"/>
      <c r="E70" s="3864"/>
      <c r="F70" s="3864"/>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4275</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6812</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6813</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4274</v>
      </c>
      <c r="E73" s="3828"/>
      <c r="F73" s="3828"/>
      <c r="G73" s="8"/>
      <c r="H73" s="109" t="s">
        <v>3831</v>
      </c>
      <c r="I73" s="36"/>
      <c r="J73" s="1"/>
      <c r="K73" s="2920" t="str">
        <f t="shared" ref="K73:P73" si="354">IF(OR(K57=0,K67=0),"",K57/K67)</f>
        <v/>
      </c>
      <c r="L73" s="2921">
        <f t="shared" si="354"/>
        <v>0.14285714285714285</v>
      </c>
      <c r="M73" s="2921">
        <f t="shared" si="354"/>
        <v>8.6956521739130432E-2</v>
      </c>
      <c r="N73" s="2921">
        <f t="shared" si="354"/>
        <v>0.16666666666666666</v>
      </c>
      <c r="O73" s="2921" t="str">
        <f t="shared" si="354"/>
        <v/>
      </c>
      <c r="P73" s="2922">
        <f t="shared" si="354"/>
        <v>0.10112359550561797</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6812</v>
      </c>
      <c r="I74" s="36"/>
      <c r="J74" s="1"/>
      <c r="K74" s="2913" t="str">
        <f>IF(OR(K57=0,P73="",K67=0),"",P73*K67)</f>
        <v/>
      </c>
      <c r="L74" s="2913">
        <f>IF(OR(L57=0,P73="",L67=0),"",P73*L67)</f>
        <v>1.4157303370786516</v>
      </c>
      <c r="M74" s="2913">
        <f>IF(OR(M57=0,P73="",M67=0),"",P73*M67)</f>
        <v>6.97752808988764</v>
      </c>
      <c r="N74" s="2913">
        <f>IF(OR(N57=0,P73="",N67=0),"",P73*N67)</f>
        <v>0.60674157303370779</v>
      </c>
      <c r="O74" s="2913" t="str">
        <f>IF(OR(O57=0,P73="",O67=0),"",P73*O67)</f>
        <v/>
      </c>
      <c r="P74" s="2914">
        <f>IF(OR(P73="",P67=0),"",P73*P67)</f>
        <v>9</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6813</v>
      </c>
      <c r="I75" s="2916"/>
      <c r="J75" s="1"/>
      <c r="K75" s="2917" t="str">
        <f t="shared" ref="K75:P75" si="355">IF(OR(K74="",K57=0),"", K57-K74)</f>
        <v/>
      </c>
      <c r="L75" s="2917">
        <f t="shared" si="355"/>
        <v>0.58426966292134841</v>
      </c>
      <c r="M75" s="2917">
        <f t="shared" si="355"/>
        <v>-0.97752808988763995</v>
      </c>
      <c r="N75" s="2917">
        <f t="shared" si="355"/>
        <v>0.39325842696629221</v>
      </c>
      <c r="O75" s="2917" t="str">
        <f t="shared" si="355"/>
        <v/>
      </c>
      <c r="P75" s="2917">
        <f t="shared" si="355"/>
        <v>0</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828"/>
      <c r="E76" s="3828"/>
      <c r="F76" s="3828"/>
      <c r="G76" s="8"/>
      <c r="H76" s="109" t="s">
        <v>1107</v>
      </c>
      <c r="I76" s="36"/>
      <c r="J76" s="1"/>
      <c r="K76" s="2920" t="str">
        <f t="shared" ref="K76:P76" si="356">IF(OR(K58=0,K67=0),"",K58/K67)</f>
        <v/>
      </c>
      <c r="L76" s="2921">
        <f t="shared" si="356"/>
        <v>0.5714285714285714</v>
      </c>
      <c r="M76" s="2921">
        <f t="shared" si="356"/>
        <v>0.60869565217391308</v>
      </c>
      <c r="N76" s="2921">
        <f t="shared" si="356"/>
        <v>0.5</v>
      </c>
      <c r="O76" s="2921" t="str">
        <f t="shared" si="356"/>
        <v/>
      </c>
      <c r="P76" s="2922">
        <f t="shared" si="356"/>
        <v>0.5955056179775281</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6812</v>
      </c>
      <c r="I77" s="36"/>
      <c r="J77" s="1"/>
      <c r="K77" s="2913" t="str">
        <f>IF(OR(K58=0,P76="",K67=0),"",P76*K67)</f>
        <v/>
      </c>
      <c r="L77" s="2913">
        <f>IF(OR(L58=0,P76="",L67=0),"",P76*L67)</f>
        <v>8.3370786516853936</v>
      </c>
      <c r="M77" s="2913">
        <f>IF(OR(M58=0,P76="",M67=0),"",P76*M67)</f>
        <v>41.08988764044944</v>
      </c>
      <c r="N77" s="2913">
        <f>IF(OR(N58=0,P76="",N67=0),"",P76*N67)</f>
        <v>3.5730337078651688</v>
      </c>
      <c r="O77" s="2913" t="str">
        <f>IF(OR(O58=0,P76="",O67=0),"",P76*O67)</f>
        <v/>
      </c>
      <c r="P77" s="2914">
        <f>IF(OR(P76="",P67=0),"",P76*P67)</f>
        <v>53</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6813</v>
      </c>
      <c r="I78" s="2916"/>
      <c r="J78" s="1"/>
      <c r="K78" s="2917" t="str">
        <f t="shared" ref="K78:P78" si="357">IF(OR(K77="",K58=0),"", K58-K77)</f>
        <v/>
      </c>
      <c r="L78" s="2917">
        <f t="shared" si="357"/>
        <v>-0.33707865168539364</v>
      </c>
      <c r="M78" s="2917">
        <f t="shared" si="357"/>
        <v>0.9101123595505598</v>
      </c>
      <c r="N78" s="2917">
        <f t="shared" si="357"/>
        <v>-0.57303370786516883</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3"/>
      <c r="E79" s="2923"/>
      <c r="F79" s="8"/>
      <c r="G79" s="8"/>
      <c r="H79" s="109" t="s">
        <v>111</v>
      </c>
      <c r="I79" s="36"/>
      <c r="J79" s="1"/>
      <c r="K79" s="2920" t="str">
        <f t="shared" ref="K79:P79" si="358">IF(OR(K59=0,K67=0),"",K59/K67)</f>
        <v/>
      </c>
      <c r="L79" s="2921">
        <f t="shared" si="358"/>
        <v>0.2857142857142857</v>
      </c>
      <c r="M79" s="2921">
        <f t="shared" si="358"/>
        <v>0.30434782608695654</v>
      </c>
      <c r="N79" s="2921">
        <f t="shared" si="358"/>
        <v>0.33333333333333331</v>
      </c>
      <c r="O79" s="2921" t="str">
        <f t="shared" si="358"/>
        <v/>
      </c>
      <c r="P79" s="2922">
        <f t="shared" si="358"/>
        <v>0.30337078651685395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6812</v>
      </c>
      <c r="I80" s="36"/>
      <c r="J80" s="1"/>
      <c r="K80" s="2913" t="str">
        <f>IF(OR(K59=0,P79="",K67=0),"",P79*K67)</f>
        <v/>
      </c>
      <c r="L80" s="2913">
        <f>IF(OR(L59=0,P79="",L67=0),"",P79*L67)</f>
        <v>4.2471910112359552</v>
      </c>
      <c r="M80" s="2913">
        <f>IF(OR(M59=0,P79="",M67=0),"",P79*M67)</f>
        <v>20.932584269662922</v>
      </c>
      <c r="N80" s="2913">
        <f>IF(OR(N59=0,P79="",N67=0),"",P79*N67)</f>
        <v>1.8202247191011236</v>
      </c>
      <c r="O80" s="2913" t="str">
        <f>IF(OR(O59=0,P79="",O67=0),"",P79*O67)</f>
        <v/>
      </c>
      <c r="P80" s="2914">
        <f>IF(OR(P79="",P67=0),"",P79*P67)</f>
        <v>27</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6813</v>
      </c>
      <c r="I81" s="2916"/>
      <c r="J81" s="1"/>
      <c r="K81" s="2917" t="str">
        <f t="shared" ref="K81:P81" si="359">IF(OR(K80="",K59=0),"", K59-K80)</f>
        <v/>
      </c>
      <c r="L81" s="2917">
        <f t="shared" si="359"/>
        <v>-0.24719101123595522</v>
      </c>
      <c r="M81" s="2917">
        <f t="shared" si="359"/>
        <v>6.7415730337078372E-2</v>
      </c>
      <c r="N81" s="2917">
        <f t="shared" si="359"/>
        <v>0.1797752808988764</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6812</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6813</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6812</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6813</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6812</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6813</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4056</v>
      </c>
      <c r="H102" s="89"/>
      <c r="L102" s="3836" t="str">
        <f>$L$53</f>
        <v>Income Averaging</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2192</v>
      </c>
      <c r="F113" s="1"/>
      <c r="G113" s="82"/>
      <c r="H113" s="109" t="s">
        <v>1377</v>
      </c>
      <c r="I113" s="36"/>
      <c r="J113" s="82"/>
      <c r="K113" s="1200">
        <f>GG49</f>
        <v>0</v>
      </c>
      <c r="L113" s="1201">
        <f>GH49</f>
        <v>14</v>
      </c>
      <c r="M113" s="1201">
        <f>GI49</f>
        <v>69</v>
      </c>
      <c r="N113" s="1201">
        <f>GJ49</f>
        <v>6</v>
      </c>
      <c r="O113" s="1202">
        <f>GK49</f>
        <v>0</v>
      </c>
      <c r="P113" s="837">
        <f t="shared" ref="P113:P123" si="368">SUM(K113:O113)</f>
        <v>89</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0</v>
      </c>
      <c r="N114" s="1207">
        <f>GO49</f>
        <v>0</v>
      </c>
      <c r="O114" s="1208">
        <f>GP49</f>
        <v>0</v>
      </c>
      <c r="P114" s="834">
        <f t="shared" si="368"/>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14</v>
      </c>
      <c r="M115" s="1181">
        <f>SUM(M113:M114)+GS49</f>
        <v>69</v>
      </c>
      <c r="N115" s="1181">
        <f>SUM(N113:N114)+GT49</f>
        <v>6</v>
      </c>
      <c r="O115" s="1181">
        <f>SUM(O113:O114)+GU49</f>
        <v>0</v>
      </c>
      <c r="P115" s="1181">
        <f t="shared" si="368"/>
        <v>89</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SHOW HISTORIC UNITS HERE &gt;&gt;&gt;&gt;</v>
      </c>
      <c r="B123" s="3932"/>
      <c r="C123" s="3932"/>
      <c r="D123" s="3932"/>
      <c r="E123" s="462" t="s">
        <v>3140</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6817</v>
      </c>
      <c r="D127" s="3849"/>
      <c r="E127" s="978" t="s">
        <v>36</v>
      </c>
      <c r="F127" s="866"/>
      <c r="G127" s="979"/>
      <c r="H127" s="1504"/>
      <c r="I127" s="980"/>
      <c r="J127" s="981"/>
      <c r="K127" s="1221">
        <f t="shared" ref="K127:P127" si="369">SUM(K128:K135)</f>
        <v>0</v>
      </c>
      <c r="L127" s="1222">
        <f t="shared" si="369"/>
        <v>14</v>
      </c>
      <c r="M127" s="1222">
        <f t="shared" si="369"/>
        <v>69</v>
      </c>
      <c r="N127" s="1222">
        <f t="shared" si="369"/>
        <v>6</v>
      </c>
      <c r="O127" s="1223">
        <f t="shared" si="369"/>
        <v>0</v>
      </c>
      <c r="P127" s="1184">
        <f t="shared" si="369"/>
        <v>89</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6596</v>
      </c>
      <c r="I128" s="783"/>
      <c r="J128" s="982"/>
      <c r="K128" s="1203">
        <f>JS49</f>
        <v>0</v>
      </c>
      <c r="L128" s="1204">
        <f>JT49</f>
        <v>0</v>
      </c>
      <c r="M128" s="1204">
        <f>JU49</f>
        <v>0</v>
      </c>
      <c r="N128" s="1204">
        <f>JV49</f>
        <v>0</v>
      </c>
      <c r="O128" s="1205">
        <f>JW49</f>
        <v>0</v>
      </c>
      <c r="P128" s="833">
        <f t="shared" ref="P128:P143" si="370">SUM(K128:O128)</f>
        <v>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3117</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6804</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3117</v>
      </c>
      <c r="I131" s="94"/>
      <c r="J131" s="982"/>
      <c r="K131" s="1760">
        <f>KH49</f>
        <v>0</v>
      </c>
      <c r="L131" s="1761">
        <f>KI49</f>
        <v>14</v>
      </c>
      <c r="M131" s="1761">
        <f>KJ49</f>
        <v>69</v>
      </c>
      <c r="N131" s="1761">
        <f>KK49</f>
        <v>6</v>
      </c>
      <c r="O131" s="1762">
        <f>KL49</f>
        <v>0</v>
      </c>
      <c r="P131" s="1772">
        <f t="shared" si="371"/>
        <v>89</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6598</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3117</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6811</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3117</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6806</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3117</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6807</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3117</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6592</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3117</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36" t="str">
        <f>$L$53</f>
        <v>Income Averaging</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6818</v>
      </c>
      <c r="D147" s="3849"/>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14</v>
      </c>
      <c r="M154" s="1765">
        <f t="shared" si="378"/>
        <v>69</v>
      </c>
      <c r="N154" s="1765">
        <f t="shared" si="378"/>
        <v>6</v>
      </c>
      <c r="O154" s="1766">
        <f t="shared" si="378"/>
        <v>0</v>
      </c>
      <c r="P154" s="1767">
        <f t="shared" si="373"/>
        <v>89</v>
      </c>
      <c r="Q154" s="3835" t="s">
        <v>4074</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6820</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1500</v>
      </c>
      <c r="M158" s="1240">
        <f>EP49</f>
        <v>5700</v>
      </c>
      <c r="N158" s="1240">
        <f>EQ49</f>
        <v>1150</v>
      </c>
      <c r="O158" s="1241">
        <f>ER49</f>
        <v>0</v>
      </c>
      <c r="P158" s="1176">
        <f t="shared" si="379"/>
        <v>8350</v>
      </c>
      <c r="Q158" s="1361">
        <f t="shared" si="380"/>
        <v>927.77777777777783</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6000</v>
      </c>
      <c r="M159" s="1240">
        <f>EU49</f>
        <v>39900</v>
      </c>
      <c r="N159" s="1240">
        <f>EV49</f>
        <v>3450</v>
      </c>
      <c r="O159" s="1241">
        <f>EW49</f>
        <v>0</v>
      </c>
      <c r="P159" s="1176">
        <f t="shared" si="379"/>
        <v>49350</v>
      </c>
      <c r="Q159" s="1361">
        <f t="shared" si="380"/>
        <v>931.13207547169816</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3000</v>
      </c>
      <c r="M160" s="1308">
        <f>EZ49</f>
        <v>19950</v>
      </c>
      <c r="N160" s="1308">
        <f>FA49</f>
        <v>2300</v>
      </c>
      <c r="O160" s="1309">
        <f>FB49</f>
        <v>0</v>
      </c>
      <c r="P160" s="1310">
        <f t="shared" si="379"/>
        <v>25250</v>
      </c>
      <c r="Q160" s="1361">
        <f t="shared" si="380"/>
        <v>935.18518518518522</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10500</v>
      </c>
      <c r="M164" s="1759">
        <f>SUM(M157:M163)</f>
        <v>65550</v>
      </c>
      <c r="N164" s="1759">
        <f>SUM(N157:N163)</f>
        <v>6900</v>
      </c>
      <c r="O164" s="1759">
        <f>SUM(O157:O163)</f>
        <v>0</v>
      </c>
      <c r="P164" s="1759">
        <f>SUM(K164:O164)</f>
        <v>82950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10500</v>
      </c>
      <c r="M166" s="1758">
        <f>SUM(M164:M165)</f>
        <v>65550</v>
      </c>
      <c r="N166" s="1758">
        <f>SUM(N164:N165)</f>
        <v>6900</v>
      </c>
      <c r="O166" s="1758">
        <f>SUM(O164:O165)</f>
        <v>0</v>
      </c>
      <c r="P166" s="1758">
        <f>SUM(K166:O166)</f>
        <v>82950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10500</v>
      </c>
      <c r="M168" s="1182">
        <f>SUM(M166:M167)</f>
        <v>65550</v>
      </c>
      <c r="N168" s="1182">
        <f>SUM(N166:N167)</f>
        <v>6900</v>
      </c>
      <c r="O168" s="1182">
        <f>SUM(O166:O167)</f>
        <v>0</v>
      </c>
      <c r="P168" s="1182">
        <f>SUM(K168:O168)</f>
        <v>82950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750</v>
      </c>
      <c r="M171" s="1360">
        <f>IF(OR(M67="",M67=0),"",M168/M67)</f>
        <v>950</v>
      </c>
      <c r="N171" s="1360">
        <f>IF(OR(N67="",N67=0),"",N168/N67)</f>
        <v>1150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18610.8</v>
      </c>
      <c r="I176" s="3873"/>
      <c r="J176" s="3874"/>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44136</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46500</v>
      </c>
      <c r="G218" s="3898"/>
      <c r="H218" s="1"/>
      <c r="I218" s="1" t="s">
        <v>1329</v>
      </c>
      <c r="K218" s="1"/>
      <c r="L218" s="3897"/>
      <c r="M218" s="3898"/>
      <c r="N218" s="1"/>
      <c r="O218" s="384">
        <f>+Q217/(P67*0.93)</f>
        <v>533.2366799565059</v>
      </c>
      <c r="P218" s="66" t="s">
        <v>2586</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36000</v>
      </c>
      <c r="G219" s="3892"/>
      <c r="H219" s="1"/>
      <c r="I219" s="1" t="s">
        <v>1330</v>
      </c>
      <c r="K219" s="1"/>
      <c r="L219" s="3893"/>
      <c r="M219" s="3894"/>
      <c r="N219" s="1"/>
      <c r="O219" s="384">
        <f>+Q217/(P67*0.93)/12</f>
        <v>44.436389996375489</v>
      </c>
      <c r="P219" s="66" t="s">
        <v>2587</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c r="G220" s="3892"/>
      <c r="H220" s="1"/>
      <c r="I220" s="1"/>
      <c r="K220" s="121" t="s">
        <v>183</v>
      </c>
      <c r="L220" s="3899">
        <f>SUM(L218:M219)</f>
        <v>0</v>
      </c>
      <c r="M220" s="3900"/>
      <c r="N220" s="1"/>
      <c r="O220" s="36" t="s">
        <v>3355</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4221</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4222</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82500</v>
      </c>
      <c r="G224" s="3900"/>
      <c r="H224" s="1"/>
      <c r="I224" s="1" t="s">
        <v>1536</v>
      </c>
      <c r="K224" s="1"/>
      <c r="L224" s="3882">
        <v>5000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12000</v>
      </c>
      <c r="M225" s="3885"/>
      <c r="N225" s="3915" t="str">
        <f>IF(Q227="","",IF(Q225&lt;Q227, "WARNING! OE below required minimum.",""))</f>
        <v/>
      </c>
      <c r="O225" s="10" t="s">
        <v>2091</v>
      </c>
      <c r="P225" s="5"/>
      <c r="Q225" s="393">
        <f>F224+F233+F244+L220+L228+L237+L244+Q217</f>
        <v>445099</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8000</v>
      </c>
      <c r="M226" s="3885"/>
      <c r="N226" s="3915"/>
      <c r="O226" s="66" t="s">
        <v>2588</v>
      </c>
      <c r="P226" s="384">
        <f>+Q225/P67</f>
        <v>5001.1123595505615</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3500</v>
      </c>
      <c r="G227" s="3898"/>
      <c r="H227" s="1"/>
      <c r="I227" s="3888" t="s">
        <v>46</v>
      </c>
      <c r="J227" s="3889"/>
      <c r="K227" s="3890"/>
      <c r="L227" s="3895"/>
      <c r="M227" s="3896"/>
      <c r="N227" s="3915"/>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400500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2500</v>
      </c>
      <c r="G228" s="3892"/>
      <c r="H228" s="1"/>
      <c r="I228" s="10"/>
      <c r="K228" s="11" t="s">
        <v>183</v>
      </c>
      <c r="L228" s="3901">
        <f>SUM(L224:L227)</f>
        <v>25000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v>2000</v>
      </c>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v>2000</v>
      </c>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2000</v>
      </c>
      <c r="G231" s="3892"/>
      <c r="H231" s="1"/>
      <c r="I231" s="10" t="s">
        <v>1326</v>
      </c>
      <c r="K231" s="2635" t="s">
        <v>4065</v>
      </c>
      <c r="O231" s="1395" t="s">
        <v>3206</v>
      </c>
      <c r="P231" s="10"/>
      <c r="Q231" s="2932">
        <v>37380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18.726591760299627</v>
      </c>
      <c r="L232" s="3882">
        <v>20000</v>
      </c>
      <c r="M232" s="3883"/>
      <c r="N232" s="3906" t="str">
        <f>IF(Q231&lt;Q240, "WARNING! RR proposed is below the DCA required minimum.","")</f>
        <v/>
      </c>
      <c r="O232" s="871" t="s">
        <v>4064</v>
      </c>
      <c r="P232" s="866"/>
      <c r="Q232" s="872">
        <f>Q231/P240</f>
        <v>420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12000</v>
      </c>
      <c r="G233" s="3900"/>
      <c r="H233" s="1"/>
      <c r="I233" s="1" t="s">
        <v>1320</v>
      </c>
      <c r="K233" s="438">
        <f>L233/12/P67</f>
        <v>0</v>
      </c>
      <c r="L233" s="3884"/>
      <c r="M233" s="3885"/>
      <c r="N233" s="3907"/>
      <c r="O233" s="3908" t="s">
        <v>3363</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11.235955056179776</v>
      </c>
      <c r="L234" s="3884">
        <v>12000</v>
      </c>
      <c r="M234" s="3885"/>
      <c r="N234" s="3907"/>
      <c r="O234" s="865" t="s">
        <v>2561</v>
      </c>
      <c r="P234" s="765" t="s">
        <v>3420</v>
      </c>
      <c r="Q234" s="867"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15000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15000</v>
      </c>
      <c r="G236" s="3912"/>
      <c r="H236" s="1"/>
      <c r="I236" s="3888" t="s">
        <v>46</v>
      </c>
      <c r="J236" s="3889"/>
      <c r="K236" s="3890"/>
      <c r="L236" s="3895"/>
      <c r="M236" s="3896"/>
      <c r="N236" s="3907"/>
      <c r="O236" s="464" t="s">
        <v>3172</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10000</v>
      </c>
      <c r="G237" s="3914"/>
      <c r="H237" s="1"/>
      <c r="I237" s="1"/>
      <c r="K237" s="11" t="s">
        <v>183</v>
      </c>
      <c r="L237" s="3901">
        <f>SUM(L232:L236)</f>
        <v>47000</v>
      </c>
      <c r="M237" s="3902"/>
      <c r="N237" s="3907"/>
      <c r="O237" s="464" t="s">
        <v>3171</v>
      </c>
      <c r="P237" s="770" t="str">
        <f>CONCATENATE(SUM(MK49:MO49)," units x $",'DCA Underwriting Assumptions'!$Q$69," =")</f>
        <v>89 units x $250 =</v>
      </c>
      <c r="Q237" s="571">
        <f>SUM(MK49:MO49)*'DCA Underwriting Assumptions'!$Q$69</f>
        <v>22250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12000</v>
      </c>
      <c r="G238" s="3914"/>
      <c r="H238" s="1"/>
      <c r="K238" s="1"/>
      <c r="L238" s="1"/>
      <c r="N238" s="3907"/>
      <c r="O238" s="572" t="s">
        <v>6833</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10000</v>
      </c>
      <c r="G239" s="3892"/>
      <c r="H239" s="1"/>
      <c r="O239" s="572" t="s">
        <v>3170</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8500</v>
      </c>
      <c r="G240" s="3892"/>
      <c r="H240" s="1"/>
      <c r="I240" s="10" t="s">
        <v>1327</v>
      </c>
      <c r="O240" s="868" t="s">
        <v>2564</v>
      </c>
      <c r="P240" s="869">
        <f>SUM(MF49:MJ49)+SUM(MK49:MO49)+SUM(MP49:MT49)+P125</f>
        <v>89</v>
      </c>
      <c r="Q240" s="870">
        <f>SUM(Q236:Q239)</f>
        <v>22250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v>3500</v>
      </c>
      <c r="G241" s="3892"/>
      <c r="H241" s="1"/>
      <c r="I241" s="93" t="s">
        <v>4122</v>
      </c>
      <c r="K241" s="1"/>
      <c r="L241" s="3882">
        <v>133283</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3500</v>
      </c>
      <c r="G242" s="3892"/>
      <c r="H242" s="1"/>
      <c r="I242" s="1" t="s">
        <v>139</v>
      </c>
      <c r="K242" s="1"/>
      <c r="L242" s="3884">
        <v>38680</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46</v>
      </c>
      <c r="J243" s="3889"/>
      <c r="K243" s="3890"/>
      <c r="L243" s="3886"/>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62500</v>
      </c>
      <c r="G244" s="3905"/>
      <c r="H244" s="1"/>
      <c r="K244" s="11" t="s">
        <v>183</v>
      </c>
      <c r="L244" s="3901">
        <f>SUM(L240:L243)</f>
        <v>171963</v>
      </c>
      <c r="M244" s="3903"/>
      <c r="N244" s="1"/>
      <c r="O244" s="10" t="s">
        <v>2092</v>
      </c>
      <c r="P244" s="1"/>
      <c r="Q244" s="393">
        <f>Q225+Q231</f>
        <v>482479</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06" t="s">
        <v>4055</v>
      </c>
      <c r="K248" s="3833"/>
      <c r="L248" s="3834"/>
      <c r="M248" s="1359" t="s">
        <v>4091</v>
      </c>
      <c r="N248" s="2934"/>
      <c r="O248" s="10" t="s">
        <v>4057</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4" t="s">
        <v>1691</v>
      </c>
      <c r="K250" s="1306" t="s">
        <v>4094</v>
      </c>
      <c r="L250" s="2844" t="s">
        <v>1691</v>
      </c>
      <c r="M250" s="72" t="s">
        <v>4095</v>
      </c>
      <c r="N250" s="2934"/>
      <c r="O250" s="445" t="s">
        <v>4093</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4053</v>
      </c>
      <c r="O252" s="13"/>
      <c r="NP252" s="2850"/>
    </row>
    <row r="253" spans="1:493" ht="408.75" customHeight="1">
      <c r="A253" s="3580" t="s">
        <v>6974</v>
      </c>
      <c r="B253" s="3580"/>
      <c r="C253" s="3580"/>
      <c r="D253" s="3580"/>
      <c r="E253" s="3580"/>
      <c r="F253" s="3580"/>
      <c r="G253" s="3580"/>
      <c r="H253" s="3580"/>
      <c r="I253" s="3580"/>
      <c r="J253" s="3580"/>
      <c r="K253" s="3580"/>
      <c r="L253" s="3580"/>
      <c r="M253" s="3580"/>
      <c r="N253" s="3579"/>
      <c r="O253" s="3579"/>
      <c r="P253" s="3579"/>
      <c r="Q253" s="3579"/>
      <c r="R253" s="3916"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f+gH+0sngMMIgPGzR89dFlGNyxWw7ksTXfiahDkcp/sOwX83koGhNOprKV9Uu+jv9ohRT0UZryM6vNffj1z5sQ==" saltValue="yf+HwpLZIh2ynBKPSu0WR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6762</v>
      </c>
      <c r="C1" s="2807" t="s">
        <v>6763</v>
      </c>
      <c r="D1" s="2807" t="s">
        <v>6764</v>
      </c>
      <c r="E1" s="2807" t="s">
        <v>6765</v>
      </c>
      <c r="F1" s="2807" t="s">
        <v>6766</v>
      </c>
      <c r="G1" s="2807" t="s">
        <v>6767</v>
      </c>
      <c r="H1" s="2807" t="s">
        <v>6768</v>
      </c>
      <c r="I1" s="2807" t="s">
        <v>6769</v>
      </c>
      <c r="J1" s="2807" t="s">
        <v>6770</v>
      </c>
      <c r="K1" s="2807" t="s">
        <v>6771</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2021-006 Wagon Works, East Point, Fulton County</v>
      </c>
      <c r="B2" s="3939"/>
      <c r="C2" s="3939"/>
      <c r="D2" s="3939"/>
      <c r="E2" s="3939"/>
      <c r="F2" s="3939"/>
      <c r="G2" s="3939"/>
      <c r="H2" s="3939"/>
      <c r="I2" s="3939"/>
      <c r="J2" s="3939"/>
      <c r="K2" s="3940"/>
      <c r="L2" s="10"/>
      <c r="M2" s="10"/>
      <c r="N2" s="3941" t="str">
        <f>A2</f>
        <v>PART SEVEN - OPERATING PRO FORMA  -  2021-006 Wagon Works, East Point, Fulton County</v>
      </c>
      <c r="O2" s="3941"/>
      <c r="P2" s="10"/>
      <c r="Z2" s="2807"/>
      <c r="AA2" s="1787">
        <v>2</v>
      </c>
    </row>
    <row r="3" spans="1:27" ht="13.5" customHeight="1">
      <c r="A3" s="461"/>
      <c r="B3" s="461"/>
      <c r="C3" s="461"/>
      <c r="D3" s="461"/>
      <c r="E3" s="461"/>
      <c r="F3" s="461"/>
      <c r="G3" s="461"/>
      <c r="H3" s="461"/>
      <c r="I3" s="461"/>
      <c r="J3" s="461"/>
      <c r="K3" s="461"/>
      <c r="N3" s="3942" t="s">
        <v>1760</v>
      </c>
      <c r="O3" s="3942"/>
      <c r="AA3" s="1788">
        <v>3</v>
      </c>
    </row>
    <row r="4" spans="1:27" ht="13.5" customHeight="1">
      <c r="A4" s="13" t="s">
        <v>85</v>
      </c>
      <c r="C4" s="3943"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3"/>
      <c r="H5" s="16"/>
      <c r="I5" s="16"/>
      <c r="AA5" s="1788">
        <v>5</v>
      </c>
    </row>
    <row r="6" spans="1:27" ht="13.5" customHeight="1">
      <c r="A6" s="16" t="s">
        <v>2093</v>
      </c>
      <c r="B6" s="77">
        <v>0.02</v>
      </c>
      <c r="C6" s="3943"/>
      <c r="D6" s="3850" t="s">
        <v>3556</v>
      </c>
      <c r="E6" s="3850"/>
      <c r="F6" s="3850"/>
      <c r="G6" s="2937">
        <v>3000</v>
      </c>
      <c r="H6" s="95" t="s">
        <v>1818</v>
      </c>
      <c r="K6" s="100">
        <f>IF(($B$15+$B$16+$B$17+$B$18)=0,"",B31/($B$15+$B$16+$B$17+$B$18))</f>
        <v>-3.3986237504229073E-3</v>
      </c>
      <c r="N6" s="3839"/>
      <c r="O6" s="3841"/>
      <c r="AA6" s="1788">
        <v>6</v>
      </c>
    </row>
    <row r="7" spans="1:27">
      <c r="A7" s="16" t="s">
        <v>2094</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2096</v>
      </c>
      <c r="B8" s="77">
        <v>0.03</v>
      </c>
      <c r="C8" s="3943"/>
      <c r="D8" s="79" t="s">
        <v>259</v>
      </c>
      <c r="G8" s="81"/>
      <c r="H8" s="95" t="s">
        <v>2269</v>
      </c>
      <c r="K8" s="100">
        <f>IF(($B$15+$B$16+$B$17+$B$18)=0,"",-B22/($B$15+$B$16+$B$17+$B$18))</f>
        <v>5.0000552616221813E-2</v>
      </c>
      <c r="N8" s="3830"/>
      <c r="O8" s="3832"/>
      <c r="AA8" s="1788">
        <v>8</v>
      </c>
    </row>
    <row r="9" spans="1:27" ht="13.35" customHeight="1">
      <c r="A9" s="16" t="s">
        <v>2095</v>
      </c>
      <c r="B9" s="2938">
        <v>7.0000000000000007E-2</v>
      </c>
      <c r="C9" s="1297" t="str">
        <f>IF(B9&lt;0.07, "Must be &gt;= 7%!","")</f>
        <v/>
      </c>
      <c r="D9" s="78" t="s">
        <v>2391</v>
      </c>
      <c r="G9" s="2939" t="s">
        <v>2772</v>
      </c>
      <c r="H9" s="161" t="s">
        <v>1389</v>
      </c>
      <c r="K9" s="2940"/>
      <c r="N9" s="3830"/>
      <c r="O9" s="3832"/>
      <c r="AA9" s="1788">
        <v>9</v>
      </c>
    </row>
    <row r="10" spans="1:27">
      <c r="A10" s="16" t="s">
        <v>1367</v>
      </c>
      <c r="B10" s="77">
        <v>0.02</v>
      </c>
      <c r="D10" s="78" t="s">
        <v>1641</v>
      </c>
      <c r="G10" s="2941" t="s">
        <v>2769</v>
      </c>
      <c r="H10" s="161" t="s">
        <v>2251</v>
      </c>
      <c r="K10" s="2942">
        <v>0.05</v>
      </c>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88">
        <v>14</v>
      </c>
    </row>
    <row r="15" spans="1:27" ht="13.35" customHeight="1">
      <c r="A15" s="18" t="s">
        <v>2294</v>
      </c>
      <c r="B15" s="19">
        <f>'Part VI-Revenues &amp; Expenses'!$M$50</f>
        <v>930540</v>
      </c>
      <c r="C15" s="19">
        <f t="shared" ref="C15:K15" si="1">$B$15*(1+$B$6)^(C14-1)</f>
        <v>949150.8</v>
      </c>
      <c r="D15" s="19">
        <f t="shared" si="1"/>
        <v>968133.81599999999</v>
      </c>
      <c r="E15" s="19">
        <f t="shared" si="1"/>
        <v>987496.49231999996</v>
      </c>
      <c r="F15" s="19">
        <f t="shared" si="1"/>
        <v>1007246.4221664</v>
      </c>
      <c r="G15" s="19">
        <f t="shared" si="1"/>
        <v>1027391.350609728</v>
      </c>
      <c r="H15" s="19">
        <f t="shared" si="1"/>
        <v>1047939.1776219226</v>
      </c>
      <c r="I15" s="19">
        <f t="shared" si="1"/>
        <v>1068897.9611743609</v>
      </c>
      <c r="J15" s="19">
        <f t="shared" si="1"/>
        <v>1090275.9203978481</v>
      </c>
      <c r="K15" s="20">
        <f t="shared" si="1"/>
        <v>1112081.4388058051</v>
      </c>
      <c r="N15" s="3839"/>
      <c r="O15" s="3841"/>
      <c r="S15" s="3934" t="s">
        <v>3561</v>
      </c>
      <c r="Z15" s="2807" t="s">
        <v>6772</v>
      </c>
      <c r="AA15" s="1788">
        <v>15</v>
      </c>
    </row>
    <row r="16" spans="1:27" ht="13.35" customHeight="1">
      <c r="A16" s="21" t="s">
        <v>977</v>
      </c>
      <c r="B16" s="22">
        <f>MIN(B15*B10,'Part VI-Revenues &amp; Expenses'!$H$176)</f>
        <v>18610.8</v>
      </c>
      <c r="C16" s="22">
        <f t="shared" ref="C16:K16" si="2">$B$16*(1+$B$6)^(C14-1)</f>
        <v>18983.016</v>
      </c>
      <c r="D16" s="22">
        <f t="shared" si="2"/>
        <v>19362.676319999999</v>
      </c>
      <c r="E16" s="22">
        <f t="shared" si="2"/>
        <v>19749.929846399998</v>
      </c>
      <c r="F16" s="22">
        <f t="shared" si="2"/>
        <v>20144.928443327997</v>
      </c>
      <c r="G16" s="22">
        <f t="shared" si="2"/>
        <v>20547.827012194561</v>
      </c>
      <c r="H16" s="22">
        <f t="shared" si="2"/>
        <v>20958.78355243845</v>
      </c>
      <c r="I16" s="22">
        <f t="shared" si="2"/>
        <v>21377.959223487214</v>
      </c>
      <c r="J16" s="22">
        <f t="shared" si="2"/>
        <v>21805.518407956963</v>
      </c>
      <c r="K16" s="23">
        <f t="shared" si="2"/>
        <v>22241.6287761161</v>
      </c>
      <c r="N16" s="3830"/>
      <c r="O16" s="3832"/>
      <c r="S16" s="3935"/>
      <c r="Z16" s="2807" t="s">
        <v>6772</v>
      </c>
      <c r="AA16" s="1788">
        <v>16</v>
      </c>
    </row>
    <row r="17" spans="1:27" ht="13.35" customHeight="1">
      <c r="A17" s="21" t="s">
        <v>2295</v>
      </c>
      <c r="B17" s="22">
        <f t="shared" ref="B17:K17" si="3">-(B15+B16)*$B$9</f>
        <v>-66440.556000000011</v>
      </c>
      <c r="C17" s="22">
        <f t="shared" si="3"/>
        <v>-67769.36712000001</v>
      </c>
      <c r="D17" s="22">
        <f t="shared" si="3"/>
        <v>-69124.7544624</v>
      </c>
      <c r="E17" s="22">
        <f t="shared" si="3"/>
        <v>-70507.249551648012</v>
      </c>
      <c r="F17" s="22">
        <f t="shared" si="3"/>
        <v>-71917.394542680966</v>
      </c>
      <c r="G17" s="22">
        <f t="shared" si="3"/>
        <v>-73355.742433534586</v>
      </c>
      <c r="H17" s="22">
        <f t="shared" si="3"/>
        <v>-74822.857282205267</v>
      </c>
      <c r="I17" s="22">
        <f t="shared" si="3"/>
        <v>-76319.314427849371</v>
      </c>
      <c r="J17" s="22">
        <f t="shared" si="3"/>
        <v>-77845.700716406354</v>
      </c>
      <c r="K17" s="23">
        <f t="shared" si="3"/>
        <v>-79402.61473073448</v>
      </c>
      <c r="N17" s="3830"/>
      <c r="O17" s="3832"/>
      <c r="Q17" s="3937" t="s">
        <v>3438</v>
      </c>
      <c r="R17" s="3937" t="s">
        <v>3560</v>
      </c>
      <c r="S17" s="3935"/>
      <c r="Z17" s="2807" t="s">
        <v>6772</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6772</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6772</v>
      </c>
      <c r="AA19" s="1788">
        <v>19</v>
      </c>
    </row>
    <row r="20" spans="1:27" ht="13.35" customHeight="1">
      <c r="A20" s="409" t="s">
        <v>4014</v>
      </c>
      <c r="B20" s="22">
        <f>SUM(B15:B19)</f>
        <v>882710.24400000006</v>
      </c>
      <c r="C20" s="22">
        <f t="shared" ref="C20:K20" si="4">SUM(C15:C19)</f>
        <v>900364.44888000004</v>
      </c>
      <c r="D20" s="22">
        <f t="shared" si="4"/>
        <v>918371.73785759998</v>
      </c>
      <c r="E20" s="22">
        <f t="shared" si="4"/>
        <v>936739.17261475197</v>
      </c>
      <c r="F20" s="22">
        <f t="shared" si="4"/>
        <v>955473.95606704708</v>
      </c>
      <c r="G20" s="22">
        <f t="shared" si="4"/>
        <v>974583.43518838799</v>
      </c>
      <c r="H20" s="22">
        <f t="shared" si="4"/>
        <v>994075.10389215569</v>
      </c>
      <c r="I20" s="22">
        <f t="shared" si="4"/>
        <v>1013956.6059699988</v>
      </c>
      <c r="J20" s="22">
        <f t="shared" si="4"/>
        <v>1034235.7380893987</v>
      </c>
      <c r="K20" s="23">
        <f t="shared" si="4"/>
        <v>1054920.4528511867</v>
      </c>
      <c r="N20" s="3830"/>
      <c r="O20" s="3832"/>
      <c r="Z20" s="2807" t="s">
        <v>6772</v>
      </c>
      <c r="AA20" s="1787">
        <v>20</v>
      </c>
    </row>
    <row r="21" spans="1:27" ht="13.35" customHeight="1">
      <c r="A21" s="21" t="s">
        <v>585</v>
      </c>
      <c r="B21" s="22">
        <f>-('Part VI-Revenues &amp; Expenses'!$Q$225-'Part VI-Revenues &amp; Expenses'!$Q$217)</f>
        <v>-400963</v>
      </c>
      <c r="C21" s="22">
        <f t="shared" ref="C21:K21" si="5">$B$21*(1+$B$7)^(C14-1)</f>
        <v>-412991.89</v>
      </c>
      <c r="D21" s="22">
        <f t="shared" si="5"/>
        <v>-425381.64669999998</v>
      </c>
      <c r="E21" s="22">
        <f t="shared" si="5"/>
        <v>-438143.09610099997</v>
      </c>
      <c r="F21" s="22">
        <f t="shared" si="5"/>
        <v>-451287.38898402994</v>
      </c>
      <c r="G21" s="22">
        <f t="shared" si="5"/>
        <v>-464826.01065355085</v>
      </c>
      <c r="H21" s="22">
        <f t="shared" si="5"/>
        <v>-478770.79097315739</v>
      </c>
      <c r="I21" s="22">
        <f t="shared" si="5"/>
        <v>-493133.91470235214</v>
      </c>
      <c r="J21" s="22">
        <f t="shared" si="5"/>
        <v>-507927.93214342266</v>
      </c>
      <c r="K21" s="23">
        <f t="shared" si="5"/>
        <v>-523165.77010772534</v>
      </c>
      <c r="N21" s="3830"/>
      <c r="O21" s="3832"/>
      <c r="Q21" s="62">
        <v>1</v>
      </c>
      <c r="R21" s="945">
        <f>-B32</f>
        <v>67548</v>
      </c>
      <c r="S21" s="945">
        <f>B33+R21</f>
        <v>67547.567229531938</v>
      </c>
      <c r="Z21" s="2807" t="s">
        <v>6772</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-44136</v>
      </c>
      <c r="C22" s="22">
        <f>IF(AND('Part VII-Pro Forma'!$G$9="Yes",'Part VII-Pro Forma'!$G$10="Yes"),"Choose One!",IF('Part VII-Pro Forma'!$G$9="Yes",ROUND((-$K$9*(1+'Part VII-Pro Forma'!$B$7)^('Part VII-Pro Forma'!C14-1)),),IF('Part VII-Pro Forma'!$G$10="Yes",ROUND((-(SUM(C15:C18)*'Part VII-Pro Forma'!$K$10)),),"Choose mgt fee")))</f>
        <v>-45018</v>
      </c>
      <c r="D22" s="22">
        <f>IF(AND('Part VII-Pro Forma'!$G$9="Yes",'Part VII-Pro Forma'!$G$10="Yes"),"Choose One!",IF('Part VII-Pro Forma'!$G$9="Yes",ROUND((-$K$9*(1+'Part VII-Pro Forma'!$B$7)^('Part VII-Pro Forma'!D14-1)),),IF('Part VII-Pro Forma'!$G$10="Yes",ROUND((-(SUM(D15:D18)*'Part VII-Pro Forma'!$K$10)),),"Choose mgt fee")))</f>
        <v>-45919</v>
      </c>
      <c r="E22" s="22">
        <f>IF(AND('Part VII-Pro Forma'!$G$9="Yes",'Part VII-Pro Forma'!$G$10="Yes"),"Choose One!",IF('Part VII-Pro Forma'!$G$9="Yes",ROUND((-$K$9*(1+'Part VII-Pro Forma'!$B$7)^('Part VII-Pro Forma'!E14-1)),),IF('Part VII-Pro Forma'!$G$10="Yes",ROUND((-(SUM(E15:E18)*'Part VII-Pro Forma'!$K$10)),),"Choose mgt fee")))</f>
        <v>-46837</v>
      </c>
      <c r="F22" s="22">
        <f>IF(AND('Part VII-Pro Forma'!$G$9="Yes",'Part VII-Pro Forma'!$G$10="Yes"),"Choose One!",IF('Part VII-Pro Forma'!$G$9="Yes",ROUND((-$K$9*(1+'Part VII-Pro Forma'!$B$7)^('Part VII-Pro Forma'!F14-1)),),IF('Part VII-Pro Forma'!$G$10="Yes",ROUND((-(SUM(F15:F18)*'Part VII-Pro Forma'!$K$10)),),"Choose mgt fee")))</f>
        <v>-47774</v>
      </c>
      <c r="G22" s="22">
        <f>IF(AND('Part VII-Pro Forma'!$G$9="Yes",'Part VII-Pro Forma'!$G$10="Yes"),"Choose One!",IF('Part VII-Pro Forma'!$G$9="Yes",ROUND((-$K$9*(1+'Part VII-Pro Forma'!$B$7)^('Part VII-Pro Forma'!G14-1)),),IF('Part VII-Pro Forma'!$G$10="Yes",ROUND((-(SUM(G15:G18)*'Part VII-Pro Forma'!$K$10)),),"Choose mgt fee")))</f>
        <v>-48729</v>
      </c>
      <c r="H22" s="22">
        <f>IF(AND('Part VII-Pro Forma'!$G$9="Yes",'Part VII-Pro Forma'!$G$10="Yes"),"Choose One!",IF('Part VII-Pro Forma'!$G$9="Yes",ROUND((-$K$9*(1+'Part VII-Pro Forma'!$B$7)^('Part VII-Pro Forma'!H14-1)),),IF('Part VII-Pro Forma'!$G$10="Yes",ROUND((-(SUM(H15:H18)*'Part VII-Pro Forma'!$K$10)),),"Choose mgt fee")))</f>
        <v>-49704</v>
      </c>
      <c r="I22" s="22">
        <f>IF(AND('Part VII-Pro Forma'!$G$9="Yes",'Part VII-Pro Forma'!$G$10="Yes"),"Choose One!",IF('Part VII-Pro Forma'!$G$9="Yes",ROUND((-$K$9*(1+'Part VII-Pro Forma'!$B$7)^('Part VII-Pro Forma'!I14-1)),),IF('Part VII-Pro Forma'!$G$10="Yes",ROUND((-(SUM(I15:I18)*'Part VII-Pro Forma'!$K$10)),),"Choose mgt fee")))</f>
        <v>-50698</v>
      </c>
      <c r="J22" s="22">
        <f>IF(AND('Part VII-Pro Forma'!$G$9="Yes",'Part VII-Pro Forma'!$G$10="Yes"),"Choose One!",IF('Part VII-Pro Forma'!$G$9="Yes",ROUND((-$K$9*(1+'Part VII-Pro Forma'!$B$7)^('Part VII-Pro Forma'!J14-1)),),IF('Part VII-Pro Forma'!$G$10="Yes",ROUND((-(SUM(J15:J18)*'Part VII-Pro Forma'!$K$10)),),"Choose mgt fee")))</f>
        <v>-51712</v>
      </c>
      <c r="K22" s="23">
        <f>IF(AND('Part VII-Pro Forma'!$G$9="Yes",'Part VII-Pro Forma'!$G$10="Yes"),"Choose One!",IF('Part VII-Pro Forma'!$G$9="Yes",ROUND((-$K$9*(1+'Part VII-Pro Forma'!$B$7)^('Part VII-Pro Forma'!K14-1)),),IF('Part VII-Pro Forma'!$G$10="Yes",ROUND((-(SUM(K15:K18)*'Part VII-Pro Forma'!$K$10)),),"Choose mgt fee")))</f>
        <v>-52746</v>
      </c>
      <c r="N22" s="3830"/>
      <c r="O22" s="3832"/>
      <c r="Q22" s="62">
        <v>2</v>
      </c>
      <c r="R22" s="945">
        <f>-SUM(B32:C32)</f>
        <v>138717</v>
      </c>
      <c r="S22" s="945">
        <f>SUM(B33:C33)+R22</f>
        <v>138717.04933906381</v>
      </c>
      <c r="Z22" s="2807" t="s">
        <v>6772</v>
      </c>
      <c r="AA22" s="1788">
        <v>22</v>
      </c>
    </row>
    <row r="23" spans="1:27" ht="13.35" customHeight="1">
      <c r="A23" s="21" t="s">
        <v>1156</v>
      </c>
      <c r="B23" s="22">
        <f>-('Part VI-Revenues &amp; Expenses'!$Q$231)</f>
        <v>-37380</v>
      </c>
      <c r="C23" s="22">
        <f t="shared" ref="C23:K23" si="6">$B$23*(1+$B$8)^(C14-1)</f>
        <v>-38501.4</v>
      </c>
      <c r="D23" s="22">
        <f t="shared" si="6"/>
        <v>-39656.441999999995</v>
      </c>
      <c r="E23" s="22">
        <f t="shared" si="6"/>
        <v>-40846.135260000003</v>
      </c>
      <c r="F23" s="22">
        <f t="shared" si="6"/>
        <v>-42071.519317799997</v>
      </c>
      <c r="G23" s="22">
        <f t="shared" si="6"/>
        <v>-43333.664897333991</v>
      </c>
      <c r="H23" s="22">
        <f t="shared" si="6"/>
        <v>-44633.674844254019</v>
      </c>
      <c r="I23" s="22">
        <f t="shared" si="6"/>
        <v>-45972.685089581639</v>
      </c>
      <c r="J23" s="22">
        <f t="shared" si="6"/>
        <v>-47351.865642269084</v>
      </c>
      <c r="K23" s="23">
        <f t="shared" si="6"/>
        <v>-48772.42161153716</v>
      </c>
      <c r="N23" s="3830"/>
      <c r="O23" s="3832"/>
      <c r="Q23" s="62">
        <v>3</v>
      </c>
      <c r="R23" s="945">
        <f>-SUM(B32:D32)</f>
        <v>213448</v>
      </c>
      <c r="S23" s="945">
        <f>SUM(B33:D33)+R23</f>
        <v>213448.0217261957</v>
      </c>
      <c r="Z23" s="2807" t="s">
        <v>6772</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291677</v>
      </c>
      <c r="S24" s="945">
        <f>SUM(B33:E33)+R24</f>
        <v>291677.28620947956</v>
      </c>
      <c r="Z24" s="2807" t="s">
        <v>6772</v>
      </c>
      <c r="AA24" s="1788">
        <v>24</v>
      </c>
    </row>
    <row r="25" spans="1:27" ht="13.35" customHeight="1">
      <c r="A25" s="21" t="s">
        <v>1157</v>
      </c>
      <c r="B25" s="22">
        <f>SUM(B20:B24)</f>
        <v>400231.24400000006</v>
      </c>
      <c r="C25" s="22">
        <f t="shared" ref="C25:J25" si="7">SUM(C20:C24)</f>
        <v>403853.15888</v>
      </c>
      <c r="D25" s="22">
        <f t="shared" si="7"/>
        <v>407414.64915760001</v>
      </c>
      <c r="E25" s="22">
        <f t="shared" si="7"/>
        <v>410912.94125375198</v>
      </c>
      <c r="F25" s="22">
        <f t="shared" si="7"/>
        <v>414341.04776521714</v>
      </c>
      <c r="G25" s="22">
        <f t="shared" si="7"/>
        <v>417694.75963750313</v>
      </c>
      <c r="H25" s="22">
        <f t="shared" si="7"/>
        <v>420966.63807474426</v>
      </c>
      <c r="I25" s="22">
        <f t="shared" si="7"/>
        <v>424152.00617806497</v>
      </c>
      <c r="J25" s="22">
        <f t="shared" si="7"/>
        <v>427243.94030370697</v>
      </c>
      <c r="K25" s="1299">
        <f>SUM(K20:K24)</f>
        <v>430236.26113192417</v>
      </c>
      <c r="N25" s="3830"/>
      <c r="O25" s="3832"/>
      <c r="Q25" s="847">
        <v>5</v>
      </c>
      <c r="R25" s="945">
        <f>-SUM(B32:F32)</f>
        <v>373334</v>
      </c>
      <c r="S25" s="945">
        <f>SUM(B33:F33)+R25</f>
        <v>373334.65720422857</v>
      </c>
      <c r="Z25" s="2807" t="s">
        <v>6772</v>
      </c>
      <c r="AA25" s="1787">
        <v>25</v>
      </c>
    </row>
    <row r="26" spans="1:27" ht="13.35" customHeight="1">
      <c r="A26" s="409" t="s">
        <v>1525</v>
      </c>
      <c r="B26" s="2944">
        <f>IF('Part III-Sources of Funds'!$P$40="", 0,-'Part III-Sources of Funds'!$P$40)</f>
        <v>-329683.67677046813</v>
      </c>
      <c r="C26" s="2944">
        <f>IF('Part III-Sources of Funds'!$P$40="", 0,-'Part III-Sources of Funds'!$P$40)</f>
        <v>-329683.67677046813</v>
      </c>
      <c r="D26" s="2944">
        <f>IF('Part III-Sources of Funds'!$P$40="", 0,-'Part III-Sources of Funds'!$P$40)</f>
        <v>-329683.67677046813</v>
      </c>
      <c r="E26" s="2944">
        <f>IF('Part III-Sources of Funds'!$P$40="", 0,-'Part III-Sources of Funds'!$P$40)</f>
        <v>-329683.67677046813</v>
      </c>
      <c r="F26" s="2944">
        <f>IF('Part III-Sources of Funds'!$P$40="", 0,-'Part III-Sources of Funds'!$P$40)</f>
        <v>-329683.67677046813</v>
      </c>
      <c r="G26" s="2944">
        <f>IF('Part III-Sources of Funds'!$P$40="", 0,-'Part III-Sources of Funds'!$P$40)</f>
        <v>-329683.67677046813</v>
      </c>
      <c r="H26" s="2944">
        <f>IF('Part III-Sources of Funds'!$P$40="", 0,-'Part III-Sources of Funds'!$P$40)</f>
        <v>-329683.67677046813</v>
      </c>
      <c r="I26" s="2944">
        <f>IF('Part III-Sources of Funds'!$P$40="", 0,-'Part III-Sources of Funds'!$P$40)</f>
        <v>-329683.67677046813</v>
      </c>
      <c r="J26" s="2944">
        <f>IF('Part III-Sources of Funds'!$P$40="", 0,-'Part III-Sources of Funds'!$P$40)</f>
        <v>-329683.67677046813</v>
      </c>
      <c r="K26" s="2944">
        <f>IF('Part III-Sources of Funds'!$P$40="", 0,-'Part III-Sources of Funds'!$P$40)</f>
        <v>-329683.67677046813</v>
      </c>
      <c r="N26" s="3830"/>
      <c r="O26" s="3832"/>
      <c r="Q26" s="847">
        <v>6</v>
      </c>
      <c r="R26" s="945">
        <f>-SUM(B32:G32)</f>
        <v>458345</v>
      </c>
      <c r="S26" s="945">
        <f>SUM(B33:G33)+R26</f>
        <v>458345.74007126357</v>
      </c>
      <c r="Z26" s="2807" t="s">
        <v>6772</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464780</v>
      </c>
      <c r="S27" s="945">
        <f>SUM(B33:H33)+R27</f>
        <v>546628.70137553965</v>
      </c>
      <c r="Z27" s="2807" t="s">
        <v>6772</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464780</v>
      </c>
      <c r="S28" s="945">
        <f>SUM(B33:I33)+R28</f>
        <v>638097.03078313661</v>
      </c>
      <c r="Z28" s="2807" t="s">
        <v>6772</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464780</v>
      </c>
      <c r="S29" s="945">
        <f>SUM(B33:J33)+R29</f>
        <v>732657.2943163754</v>
      </c>
      <c r="Z29" s="2807" t="s">
        <v>6772</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464780</v>
      </c>
      <c r="S30" s="945">
        <f>SUM(B33:K33)+R30</f>
        <v>830209.8786778315</v>
      </c>
      <c r="Z30" s="2807" t="s">
        <v>6772</v>
      </c>
      <c r="AA30" s="1788">
        <v>30</v>
      </c>
    </row>
    <row r="31" spans="1:27" ht="13.35" customHeight="1">
      <c r="A31" s="409" t="s">
        <v>1121</v>
      </c>
      <c r="B31" s="2947">
        <f>-$G$6</f>
        <v>-3000</v>
      </c>
      <c r="C31" s="2947">
        <f t="shared" ref="C31:K31" si="8">+B31</f>
        <v>-3000</v>
      </c>
      <c r="D31" s="2947">
        <f t="shared" si="8"/>
        <v>-3000</v>
      </c>
      <c r="E31" s="2947">
        <f>+D31</f>
        <v>-3000</v>
      </c>
      <c r="F31" s="2947">
        <f t="shared" si="8"/>
        <v>-3000</v>
      </c>
      <c r="G31" s="2947">
        <f t="shared" si="8"/>
        <v>-3000</v>
      </c>
      <c r="H31" s="2947">
        <f t="shared" si="8"/>
        <v>-3000</v>
      </c>
      <c r="I31" s="2947">
        <f t="shared" si="8"/>
        <v>-3000</v>
      </c>
      <c r="J31" s="2947">
        <f t="shared" si="8"/>
        <v>-3000</v>
      </c>
      <c r="K31" s="2947">
        <f t="shared" si="8"/>
        <v>-3000</v>
      </c>
      <c r="N31" s="3830"/>
      <c r="O31" s="3832"/>
      <c r="Q31" s="847">
        <v>11</v>
      </c>
      <c r="R31" s="945">
        <f>-SUM(B32:K32)-B64</f>
        <v>464780</v>
      </c>
      <c r="S31" s="945">
        <f>SUM(B33:K33)+B65+R31</f>
        <v>930647.7263447335</v>
      </c>
      <c r="Z31" s="2807" t="s">
        <v>6772</v>
      </c>
      <c r="AA31" s="1788">
        <v>31</v>
      </c>
    </row>
    <row r="32" spans="1:27" ht="13.35" customHeight="1">
      <c r="A32" s="409" t="s">
        <v>3509</v>
      </c>
      <c r="B32" s="2948">
        <v>-67548</v>
      </c>
      <c r="C32" s="2948">
        <v>-71169</v>
      </c>
      <c r="D32" s="2948">
        <v>-74731</v>
      </c>
      <c r="E32" s="2948">
        <v>-78229</v>
      </c>
      <c r="F32" s="2948">
        <v>-81657</v>
      </c>
      <c r="G32" s="2948">
        <v>-85011</v>
      </c>
      <c r="H32" s="2948">
        <v>-6435</v>
      </c>
      <c r="I32" s="2948">
        <f>IF('Part III-Sources of Funds'!$P$45="", 0,-'Part III-Sources of Funds'!$P$45)</f>
        <v>0</v>
      </c>
      <c r="J32" s="2948">
        <f>IF('Part III-Sources of Funds'!$P$45="", 0,-'Part III-Sources of Funds'!$P$45)</f>
        <v>0</v>
      </c>
      <c r="K32" s="2948">
        <f>IF('Part III-Sources of Funds'!$P$45="", 0,-'Part III-Sources of Funds'!$P$45)</f>
        <v>0</v>
      </c>
      <c r="N32" s="3830"/>
      <c r="O32" s="3832"/>
      <c r="Q32" s="847">
        <v>12</v>
      </c>
      <c r="R32" s="945">
        <f>-SUM(B32:K32) - SUM(B64:C64)</f>
        <v>464780</v>
      </c>
      <c r="S32" s="945">
        <f>SUM(B33:K33) + SUM(B65:C65)+R32</f>
        <v>1033857.0611256744</v>
      </c>
      <c r="Z32" s="2807" t="s">
        <v>6772</v>
      </c>
      <c r="AA32" s="1788">
        <v>32</v>
      </c>
    </row>
    <row r="33" spans="1:27" ht="13.35" customHeight="1">
      <c r="A33" s="21" t="s">
        <v>1122</v>
      </c>
      <c r="B33" s="22">
        <f t="shared" ref="B33:K33" si="9">SUM(B25:B32)</f>
        <v>-0.43277046806178987</v>
      </c>
      <c r="C33" s="22">
        <f t="shared" si="9"/>
        <v>0.48210953187663108</v>
      </c>
      <c r="D33" s="22">
        <f t="shared" si="9"/>
        <v>-2.7612868114374578E-2</v>
      </c>
      <c r="E33" s="22">
        <f t="shared" si="9"/>
        <v>0.26448328385595232</v>
      </c>
      <c r="F33" s="22">
        <f t="shared" si="9"/>
        <v>0.37099474901333451</v>
      </c>
      <c r="G33" s="22">
        <f t="shared" si="9"/>
        <v>8.2867035001982003E-2</v>
      </c>
      <c r="H33" s="22">
        <f t="shared" si="9"/>
        <v>81847.961304276134</v>
      </c>
      <c r="I33" s="22">
        <f t="shared" si="9"/>
        <v>91468.329407596844</v>
      </c>
      <c r="J33" s="22">
        <f t="shared" si="9"/>
        <v>94560.263533238845</v>
      </c>
      <c r="K33" s="23">
        <f t="shared" si="9"/>
        <v>97552.584361456044</v>
      </c>
      <c r="N33" s="3830"/>
      <c r="O33" s="3832"/>
      <c r="Q33" s="847">
        <v>13</v>
      </c>
      <c r="R33" s="945">
        <f>-SUM(B32:K32) - SUM(B64:D64)</f>
        <v>464780</v>
      </c>
      <c r="S33" s="945">
        <f>SUM(B33:K33) + SUM(B65:D65)+R33</f>
        <v>1139716.1038616942</v>
      </c>
      <c r="Z33" s="2807" t="s">
        <v>6772</v>
      </c>
      <c r="AA33" s="1788">
        <v>33</v>
      </c>
    </row>
    <row r="34" spans="1:27" ht="13.35" customHeight="1">
      <c r="A34" s="21" t="str">
        <f>IF('Part III-Sources of Funds'!$E$40 = "Neither", "", "DCR Mortgage A")</f>
        <v>DCR Mortgage A</v>
      </c>
      <c r="B34" s="24">
        <f t="shared" ref="B34:K34" si="10">IF(B26=0,"",-B25/B26)</f>
        <v>1.2139856237973483</v>
      </c>
      <c r="C34" s="24">
        <f t="shared" si="10"/>
        <v>1.2249716541506848</v>
      </c>
      <c r="D34" s="24">
        <f t="shared" si="10"/>
        <v>1.2357744039637413</v>
      </c>
      <c r="E34" s="24">
        <f t="shared" si="10"/>
        <v>1.2463854603873432</v>
      </c>
      <c r="F34" s="24">
        <f t="shared" si="10"/>
        <v>1.2567836291564081</v>
      </c>
      <c r="G34" s="24">
        <f t="shared" si="10"/>
        <v>1.2669561433225278</v>
      </c>
      <c r="H34" s="24">
        <f t="shared" si="10"/>
        <v>1.2768804394517506</v>
      </c>
      <c r="I34" s="24">
        <f t="shared" si="10"/>
        <v>1.286542331525159</v>
      </c>
      <c r="J34" s="24">
        <f t="shared" si="10"/>
        <v>1.2959208186735982</v>
      </c>
      <c r="K34" s="25">
        <f t="shared" si="10"/>
        <v>1.3049971577193451</v>
      </c>
      <c r="N34" s="3830"/>
      <c r="O34" s="3832"/>
      <c r="Q34" s="847">
        <v>14</v>
      </c>
      <c r="R34" s="945">
        <f>-SUM(B32:K32) - SUM(B64:E64)</f>
        <v>464780</v>
      </c>
      <c r="S34" s="945">
        <f>SUM(B33:K33) + SUM(B65:E65)+R34</f>
        <v>1248096.7779436153</v>
      </c>
      <c r="Z34" s="2807" t="s">
        <v>6772</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464780</v>
      </c>
      <c r="S35" s="945">
        <f>SUM(B33:K33) + SUM(B65:F65)+R35</f>
        <v>1358861.4043070294</v>
      </c>
      <c r="Z35" s="2807" t="s">
        <v>6772</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464780</v>
      </c>
      <c r="S36" s="945">
        <f>SUM(B33:K33) + SUM(B65:G65)+R36</f>
        <v>1471864.3855554992</v>
      </c>
      <c r="Z36" s="2807" t="s">
        <v>6772</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464780</v>
      </c>
      <c r="S37" s="945">
        <f>SUM(B33:K33) + SUM(B65:H65)+R37</f>
        <v>1586951.8788513974</v>
      </c>
      <c r="Z37" s="2807" t="s">
        <v>6772</v>
      </c>
      <c r="AA37" s="1788">
        <v>37</v>
      </c>
    </row>
    <row r="38" spans="1:27" ht="13.35" customHeight="1">
      <c r="A38" s="409" t="s">
        <v>3344</v>
      </c>
      <c r="B38" s="24">
        <f t="shared" ref="B38:K38" si="14">IF(AND(B26=0,B27=0,B28=0,B29=0),"",-B25/(B26+B27+B28+B29))</f>
        <v>1.2139856237973483</v>
      </c>
      <c r="C38" s="24">
        <f t="shared" si="14"/>
        <v>1.2249716541506848</v>
      </c>
      <c r="D38" s="24">
        <f t="shared" si="14"/>
        <v>1.2357744039637413</v>
      </c>
      <c r="E38" s="24">
        <f t="shared" si="14"/>
        <v>1.2463854603873432</v>
      </c>
      <c r="F38" s="24">
        <f t="shared" si="14"/>
        <v>1.2567836291564081</v>
      </c>
      <c r="G38" s="24">
        <f t="shared" si="14"/>
        <v>1.2669561433225278</v>
      </c>
      <c r="H38" s="24">
        <f t="shared" si="14"/>
        <v>1.2768804394517506</v>
      </c>
      <c r="I38" s="24">
        <f t="shared" si="14"/>
        <v>1.286542331525159</v>
      </c>
      <c r="J38" s="24">
        <f t="shared" si="14"/>
        <v>1.2959208186735982</v>
      </c>
      <c r="K38" s="25">
        <f t="shared" si="14"/>
        <v>1.3049971577193451</v>
      </c>
      <c r="N38" s="3830"/>
      <c r="O38" s="3832"/>
      <c r="Q38" s="62">
        <v>18</v>
      </c>
      <c r="R38" s="945">
        <f>-SUM(B32:K32) - SUM(B64:I64)</f>
        <v>464780</v>
      </c>
      <c r="S38" s="945">
        <f>SUM(B33:K33) + SUM(B65:I65)+R38</f>
        <v>1703961.4572022844</v>
      </c>
      <c r="Z38" s="2807" t="s">
        <v>6772</v>
      </c>
      <c r="AA38" s="1788">
        <v>38</v>
      </c>
    </row>
    <row r="39" spans="1:27" ht="13.35" customHeight="1">
      <c r="A39" s="21" t="s">
        <v>740</v>
      </c>
      <c r="B39" s="263">
        <f t="shared" ref="B39:K39" si="15">IF(OR(B22="Choose mgt fee",B22="Choose One!"),"",(B15+B16+B17+B18+B19) / -(B21+B22+B23))</f>
        <v>1.8295309101536026</v>
      </c>
      <c r="C39" s="263">
        <f t="shared" si="15"/>
        <v>1.8133816229636994</v>
      </c>
      <c r="D39" s="263">
        <f t="shared" si="15"/>
        <v>1.7973558996787045</v>
      </c>
      <c r="E39" s="263">
        <f t="shared" si="15"/>
        <v>1.7814614729093734</v>
      </c>
      <c r="F39" s="263">
        <f t="shared" si="15"/>
        <v>1.7656918317266863</v>
      </c>
      <c r="G39" s="263">
        <f t="shared" si="15"/>
        <v>1.7500507336126232</v>
      </c>
      <c r="H39" s="263">
        <f t="shared" si="15"/>
        <v>1.7345322276374495</v>
      </c>
      <c r="I39" s="263">
        <f t="shared" si="15"/>
        <v>1.7191398750157147</v>
      </c>
      <c r="J39" s="263">
        <f t="shared" si="15"/>
        <v>1.7038710273553852</v>
      </c>
      <c r="K39" s="264">
        <f t="shared" si="15"/>
        <v>1.6887260264227648</v>
      </c>
      <c r="N39" s="3830"/>
      <c r="O39" s="3832"/>
      <c r="Q39" s="847">
        <v>19</v>
      </c>
      <c r="R39" s="945">
        <f>-SUM(B32:K32) - SUM(B64:J64)</f>
        <v>464780</v>
      </c>
      <c r="S39" s="945">
        <f>SUM(B33:K33) + SUM(B65:J65)+R39</f>
        <v>1822719.7587588693</v>
      </c>
      <c r="Z39" s="2807" t="s">
        <v>6772</v>
      </c>
      <c r="AA39" s="1788">
        <v>39</v>
      </c>
    </row>
    <row r="40" spans="1:27" ht="13.35" customHeight="1">
      <c r="A40" s="409" t="s">
        <v>2493</v>
      </c>
      <c r="B40" s="2949">
        <f>IF('Part III-Sources of Funds'!$I$40="","",-FV('Part III-Sources of Funds'!$K$40/12,12,B26/12,'Part III-Sources of Funds'!$I$40))</f>
        <v>5923844.2353685256</v>
      </c>
      <c r="C40" s="2949">
        <f>IF('Part III-Sources of Funds'!$I$40="","",-FV('Part III-Sources of Funds'!$K$40/12,12,C26/12,B40))</f>
        <v>5844388.0538141103</v>
      </c>
      <c r="D40" s="2949">
        <f>IF('Part III-Sources of Funds'!$I$40="","",-FV('Part III-Sources of Funds'!$K$40/12,12,D26/12,C40))</f>
        <v>5761488.4228044441</v>
      </c>
      <c r="E40" s="2949">
        <f>IF('Part III-Sources of Funds'!$I$40="","",-FV('Part III-Sources of Funds'!$K$40/12,12,E26/12,D40))</f>
        <v>5674996.1111039091</v>
      </c>
      <c r="F40" s="2949">
        <f>IF('Part III-Sources of Funds'!$I$40="","",-FV('Part III-Sources of Funds'!$K$40/12,12,F26/12,E40))</f>
        <v>5584755.420135933</v>
      </c>
      <c r="G40" s="2949">
        <f>IF('Part III-Sources of Funds'!$I$40="","",-FV('Part III-Sources of Funds'!$K$40/12,12,G26/12,F40))</f>
        <v>5490603.9037032034</v>
      </c>
      <c r="H40" s="2949">
        <f>IF('Part III-Sources of Funds'!$I$40="","",-FV('Part III-Sources of Funds'!$K$40/12,12,H26/12,G40))</f>
        <v>5392372.0755611919</v>
      </c>
      <c r="I40" s="2949">
        <f>IF('Part III-Sources of Funds'!$I$40="","",-FV('Part III-Sources of Funds'!$K$40/12,12,I26/12,H40))</f>
        <v>5289883.1043185871</v>
      </c>
      <c r="J40" s="2949">
        <f>IF('Part III-Sources of Funds'!$I$40="","",-FV('Part III-Sources of Funds'!$K$40/12,12,J26/12,I40))</f>
        <v>5182952.4951154059</v>
      </c>
      <c r="K40" s="2949">
        <f>IF('Part III-Sources of Funds'!$I$40="","",-FV('Part III-Sources of Funds'!$K$40/12,12,K26/12,J40))</f>
        <v>5071387.7575057624</v>
      </c>
      <c r="N40" s="3830"/>
      <c r="O40" s="3832"/>
      <c r="Q40" s="847">
        <v>20</v>
      </c>
      <c r="R40" s="945">
        <f>-SUM(B32:K32) - SUM(B64:K64)</f>
        <v>464780</v>
      </c>
      <c r="S40" s="945">
        <f>SUM(B33:K33) + SUM(B65:K65)+R40</f>
        <v>1943044.1237283645</v>
      </c>
      <c r="Z40" s="2807" t="s">
        <v>6772</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6772</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6772</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6772</v>
      </c>
      <c r="AA43" s="1787">
        <v>43</v>
      </c>
    </row>
    <row r="44" spans="1:27" ht="13.35" customHeight="1">
      <c r="A44" s="409" t="s">
        <v>3510</v>
      </c>
      <c r="B44" s="2948">
        <f>IF('Part III-Sources of Funds'!$I$45="","",-FV('Part III-Sources of Funds'!$K$45/12,12,B32/12,'Part III-Sources of Funds'!$I$45))</f>
        <v>397232</v>
      </c>
      <c r="C44" s="2948">
        <f>IF('Part III-Sources of Funds'!$I$45="","",IF(-FV('Part III-Sources of Funds'!$K$45/12,12,C32/12,B44)&gt;0,-FV('Part III-Sources of Funds'!$K$45/12,12,C32/12,B44),0))</f>
        <v>326063</v>
      </c>
      <c r="D44" s="2948">
        <f>IF('Part III-Sources of Funds'!$I$45="","",IF(-FV('Part III-Sources of Funds'!$K$45/12,12,D32/12,C44)&gt;0,-FV('Part III-Sources of Funds'!$K$45/12,12,D32/12,C44),0))</f>
        <v>251332</v>
      </c>
      <c r="E44" s="2948">
        <f>IF('Part III-Sources of Funds'!$I$45="","",IF(-FV('Part III-Sources of Funds'!$K$45/12,12,E32/12,D44)&gt;0,-FV('Part III-Sources of Funds'!$K$45/12,12,E32/12,D44),0))</f>
        <v>173103</v>
      </c>
      <c r="F44" s="2948">
        <f>IF('Part III-Sources of Funds'!$I$45="","",IF(-FV('Part III-Sources of Funds'!$K$45/12,12,F32/12,E44)&gt;0,-FV('Part III-Sources of Funds'!$K$45/12,12,F32/12,E44),0))</f>
        <v>91446</v>
      </c>
      <c r="G44" s="2948">
        <f>IF('Part III-Sources of Funds'!$I$45="","",IF(-FV('Part III-Sources of Funds'!$K$45/12,12,G32/12,F44)&gt;0,-FV('Part III-Sources of Funds'!$K$45/12,12,G32/12,F44),0))</f>
        <v>6435</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6772</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2497</v>
      </c>
      <c r="O46" s="3479"/>
      <c r="AA46" s="1788">
        <v>46</v>
      </c>
    </row>
    <row r="47" spans="1:27" ht="13.35" customHeight="1">
      <c r="A47" s="18" t="s">
        <v>2294</v>
      </c>
      <c r="B47" s="19">
        <f t="shared" ref="B47:K47" si="17">$B$15*(1+$B$6)^(B46-1)</f>
        <v>1134323.0675819214</v>
      </c>
      <c r="C47" s="19">
        <f t="shared" si="17"/>
        <v>1157009.5289335595</v>
      </c>
      <c r="D47" s="19">
        <f t="shared" si="17"/>
        <v>1180149.7195122309</v>
      </c>
      <c r="E47" s="19">
        <f t="shared" si="17"/>
        <v>1203752.7139024753</v>
      </c>
      <c r="F47" s="19">
        <f t="shared" si="17"/>
        <v>1227827.7681805252</v>
      </c>
      <c r="G47" s="19">
        <f t="shared" si="17"/>
        <v>1252384.3235441353</v>
      </c>
      <c r="H47" s="19">
        <f t="shared" si="17"/>
        <v>1277432.0100150181</v>
      </c>
      <c r="I47" s="19">
        <f t="shared" si="17"/>
        <v>1302980.6502153187</v>
      </c>
      <c r="J47" s="19">
        <f t="shared" si="17"/>
        <v>1329040.2632196248</v>
      </c>
      <c r="K47" s="20">
        <f t="shared" si="17"/>
        <v>1355621.0684840172</v>
      </c>
      <c r="N47" s="3839"/>
      <c r="O47" s="3841"/>
      <c r="Z47" s="2807" t="s">
        <v>6773</v>
      </c>
      <c r="AA47" s="1788">
        <v>47</v>
      </c>
    </row>
    <row r="48" spans="1:27" ht="13.35" customHeight="1">
      <c r="A48" s="21" t="s">
        <v>977</v>
      </c>
      <c r="B48" s="22">
        <f t="shared" ref="B48:K48" si="18">$B$16*(1+$B$6)^(B46-1)</f>
        <v>22686.461351638423</v>
      </c>
      <c r="C48" s="22">
        <f t="shared" si="18"/>
        <v>23140.19057867119</v>
      </c>
      <c r="D48" s="22">
        <f t="shared" si="18"/>
        <v>23602.994390244618</v>
      </c>
      <c r="E48" s="22">
        <f t="shared" si="18"/>
        <v>24075.054278049509</v>
      </c>
      <c r="F48" s="22">
        <f t="shared" si="18"/>
        <v>24556.5553636105</v>
      </c>
      <c r="G48" s="22">
        <f t="shared" si="18"/>
        <v>25047.686470882702</v>
      </c>
      <c r="H48" s="22">
        <f t="shared" si="18"/>
        <v>25548.64020030036</v>
      </c>
      <c r="I48" s="22">
        <f t="shared" si="18"/>
        <v>26059.613004306371</v>
      </c>
      <c r="J48" s="22">
        <f t="shared" si="18"/>
        <v>26580.805264392497</v>
      </c>
      <c r="K48" s="23">
        <f t="shared" si="18"/>
        <v>27112.421369680345</v>
      </c>
      <c r="N48" s="3830"/>
      <c r="O48" s="3832"/>
      <c r="Z48" s="2807" t="s">
        <v>6773</v>
      </c>
      <c r="AA48" s="1787">
        <v>48</v>
      </c>
    </row>
    <row r="49" spans="1:27" ht="13.35" customHeight="1">
      <c r="A49" s="21" t="s">
        <v>2295</v>
      </c>
      <c r="B49" s="22">
        <f t="shared" ref="B49:K49" si="19">-(B47+B48)*$B$9</f>
        <v>-80990.66702534919</v>
      </c>
      <c r="C49" s="22">
        <f t="shared" si="19"/>
        <v>-82610.480365856158</v>
      </c>
      <c r="D49" s="22">
        <f t="shared" si="19"/>
        <v>-84262.689973173299</v>
      </c>
      <c r="E49" s="22">
        <f t="shared" si="19"/>
        <v>-85947.943772636747</v>
      </c>
      <c r="F49" s="22">
        <f t="shared" si="19"/>
        <v>-87666.902648089497</v>
      </c>
      <c r="G49" s="22">
        <f t="shared" si="19"/>
        <v>-89420.240701051269</v>
      </c>
      <c r="H49" s="22">
        <f t="shared" si="19"/>
        <v>-91208.645515072305</v>
      </c>
      <c r="I49" s="22">
        <f t="shared" si="19"/>
        <v>-93032.818425373756</v>
      </c>
      <c r="J49" s="22">
        <f t="shared" si="19"/>
        <v>-94893.474793881207</v>
      </c>
      <c r="K49" s="23">
        <f t="shared" si="19"/>
        <v>-96791.344289758839</v>
      </c>
      <c r="N49" s="3830"/>
      <c r="O49" s="3832"/>
      <c r="Z49" s="2807" t="s">
        <v>6773</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6773</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6773</v>
      </c>
      <c r="AA51" s="1787">
        <v>51</v>
      </c>
    </row>
    <row r="52" spans="1:27" ht="13.35" customHeight="1">
      <c r="A52" s="409" t="s">
        <v>4014</v>
      </c>
      <c r="B52" s="22">
        <f t="shared" ref="B52:K52" si="20">SUM(B47:B51)</f>
        <v>1076018.8619082107</v>
      </c>
      <c r="C52" s="22">
        <f t="shared" si="20"/>
        <v>1097539.2391463746</v>
      </c>
      <c r="D52" s="22">
        <f t="shared" si="20"/>
        <v>1119490.0239293023</v>
      </c>
      <c r="E52" s="22">
        <f t="shared" si="20"/>
        <v>1141879.8244078881</v>
      </c>
      <c r="F52" s="22">
        <f t="shared" si="20"/>
        <v>1164717.4208960461</v>
      </c>
      <c r="G52" s="22">
        <f t="shared" si="20"/>
        <v>1188011.7693139669</v>
      </c>
      <c r="H52" s="22">
        <f t="shared" si="20"/>
        <v>1211772.004700246</v>
      </c>
      <c r="I52" s="22">
        <f t="shared" si="20"/>
        <v>1236007.4447942511</v>
      </c>
      <c r="J52" s="22">
        <f t="shared" si="20"/>
        <v>1260727.593690136</v>
      </c>
      <c r="K52" s="23">
        <f t="shared" si="20"/>
        <v>1285942.1455639387</v>
      </c>
      <c r="N52" s="3830"/>
      <c r="O52" s="3832"/>
      <c r="Z52" s="2807" t="s">
        <v>6773</v>
      </c>
      <c r="AA52" s="1788">
        <v>52</v>
      </c>
    </row>
    <row r="53" spans="1:27" ht="13.35" customHeight="1">
      <c r="A53" s="21" t="s">
        <v>585</v>
      </c>
      <c r="B53" s="22">
        <f t="shared" ref="B53:K53" si="21">$B$21*(1+$B$7)^(B46-1)</f>
        <v>-538860.74321095715</v>
      </c>
      <c r="C53" s="22">
        <f t="shared" si="21"/>
        <v>-555026.56550728588</v>
      </c>
      <c r="D53" s="22">
        <f t="shared" si="21"/>
        <v>-571677.36247250438</v>
      </c>
      <c r="E53" s="22">
        <f t="shared" si="21"/>
        <v>-588827.68334667943</v>
      </c>
      <c r="F53" s="22">
        <f t="shared" si="21"/>
        <v>-606492.51384707983</v>
      </c>
      <c r="G53" s="22">
        <f t="shared" si="21"/>
        <v>-624687.28926249233</v>
      </c>
      <c r="H53" s="22">
        <f t="shared" si="21"/>
        <v>-643427.907940367</v>
      </c>
      <c r="I53" s="22">
        <f t="shared" si="21"/>
        <v>-662730.74517857796</v>
      </c>
      <c r="J53" s="22">
        <f t="shared" si="21"/>
        <v>-682612.66753393528</v>
      </c>
      <c r="K53" s="23">
        <f t="shared" si="21"/>
        <v>-703091.04755995341</v>
      </c>
      <c r="N53" s="3830"/>
      <c r="O53" s="3832"/>
      <c r="Z53" s="2807" t="s">
        <v>6773</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-53801</v>
      </c>
      <c r="C54" s="22">
        <f>IF(AND('Part VII-Pro Forma'!$G$9="Yes",'Part VII-Pro Forma'!$G$10="Yes"),"Choose One!",IF('Part VII-Pro Forma'!$G$9="Yes",ROUND((-$K$9*(1+'Part VII-Pro Forma'!$B$7)^('Part VII-Pro Forma'!C46-1)),),IF('Part VII-Pro Forma'!$G$10="Yes",ROUND((-(SUM(C47:C50)*'Part VII-Pro Forma'!$K$10)),),"Choose mgt fee")))</f>
        <v>-54877</v>
      </c>
      <c r="D54" s="22">
        <f>IF(AND('Part VII-Pro Forma'!$G$9="Yes",'Part VII-Pro Forma'!$G$10="Yes"),"Choose One!",IF('Part VII-Pro Forma'!$G$9="Yes",ROUND((-$K$9*(1+'Part VII-Pro Forma'!$B$7)^('Part VII-Pro Forma'!D46-1)),),IF('Part VII-Pro Forma'!$G$10="Yes",ROUND((-(SUM(D47:D50)*'Part VII-Pro Forma'!$K$10)),),"Choose mgt fee")))</f>
        <v>-55975</v>
      </c>
      <c r="E54" s="22">
        <f>IF(AND('Part VII-Pro Forma'!$G$9="Yes",'Part VII-Pro Forma'!$G$10="Yes"),"Choose One!",IF('Part VII-Pro Forma'!$G$9="Yes",ROUND((-$K$9*(1+'Part VII-Pro Forma'!$B$7)^('Part VII-Pro Forma'!E46-1)),),IF('Part VII-Pro Forma'!$G$10="Yes",ROUND((-(SUM(E47:E50)*'Part VII-Pro Forma'!$K$10)),),"Choose mgt fee")))</f>
        <v>-57094</v>
      </c>
      <c r="F54" s="22">
        <f>IF(AND('Part VII-Pro Forma'!$G$9="Yes",'Part VII-Pro Forma'!$G$10="Yes"),"Choose One!",IF('Part VII-Pro Forma'!$G$9="Yes",ROUND((-$K$9*(1+'Part VII-Pro Forma'!$B$7)^('Part VII-Pro Forma'!F46-1)),),IF('Part VII-Pro Forma'!$G$10="Yes",ROUND((-(SUM(F47:F50)*'Part VII-Pro Forma'!$K$10)),),"Choose mgt fee")))</f>
        <v>-58236</v>
      </c>
      <c r="G54" s="22">
        <f>IF(AND('Part VII-Pro Forma'!$G$9="Yes",'Part VII-Pro Forma'!$G$10="Yes"),"Choose One!",IF('Part VII-Pro Forma'!$G$9="Yes",ROUND((-$K$9*(1+'Part VII-Pro Forma'!$B$7)^('Part VII-Pro Forma'!G46-1)),),IF('Part VII-Pro Forma'!$G$10="Yes",ROUND((-(SUM(G47:G50)*'Part VII-Pro Forma'!$K$10)),),"Choose mgt fee")))</f>
        <v>-59401</v>
      </c>
      <c r="H54" s="22">
        <f>IF(AND('Part VII-Pro Forma'!$G$9="Yes",'Part VII-Pro Forma'!$G$10="Yes"),"Choose One!",IF('Part VII-Pro Forma'!$G$9="Yes",ROUND((-$K$9*(1+'Part VII-Pro Forma'!$B$7)^('Part VII-Pro Forma'!H46-1)),),IF('Part VII-Pro Forma'!$G$10="Yes",ROUND((-(SUM(H47:H50)*'Part VII-Pro Forma'!$K$10)),),"Choose mgt fee")))</f>
        <v>-60589</v>
      </c>
      <c r="I54" s="22">
        <f>IF(AND('Part VII-Pro Forma'!$G$9="Yes",'Part VII-Pro Forma'!$G$10="Yes"),"Choose One!",IF('Part VII-Pro Forma'!$G$9="Yes",ROUND((-$K$9*(1+'Part VII-Pro Forma'!$B$7)^('Part VII-Pro Forma'!I46-1)),),IF('Part VII-Pro Forma'!$G$10="Yes",ROUND((-(SUM(I47:I50)*'Part VII-Pro Forma'!$K$10)),),"Choose mgt fee")))</f>
        <v>-61800</v>
      </c>
      <c r="J54" s="22">
        <f>IF(AND('Part VII-Pro Forma'!$G$9="Yes",'Part VII-Pro Forma'!$G$10="Yes"),"Choose One!",IF('Part VII-Pro Forma'!$G$9="Yes",ROUND((-$K$9*(1+'Part VII-Pro Forma'!$B$7)^('Part VII-Pro Forma'!J46-1)),),IF('Part VII-Pro Forma'!$G$10="Yes",ROUND((-(SUM(J47:J50)*'Part VII-Pro Forma'!$K$10)),),"Choose mgt fee")))</f>
        <v>-63036</v>
      </c>
      <c r="K54" s="23">
        <f>IF(AND('Part VII-Pro Forma'!$G$9="Yes",'Part VII-Pro Forma'!$G$10="Yes"),"Choose One!",IF('Part VII-Pro Forma'!$G$9="Yes",ROUND((-$K$9*(1+'Part VII-Pro Forma'!$B$7)^('Part VII-Pro Forma'!K46-1)),),IF('Part VII-Pro Forma'!$G$10="Yes",ROUND((-(SUM(K47:K50)*'Part VII-Pro Forma'!$K$10)),),"Choose mgt fee")))</f>
        <v>-64297</v>
      </c>
      <c r="N54" s="3830"/>
      <c r="O54" s="3832"/>
      <c r="Z54" s="2807" t="s">
        <v>6773</v>
      </c>
      <c r="AA54" s="1788">
        <v>54</v>
      </c>
    </row>
    <row r="55" spans="1:27" ht="13.35" customHeight="1">
      <c r="A55" s="21" t="s">
        <v>1156</v>
      </c>
      <c r="B55" s="22">
        <f t="shared" ref="B55:K55" si="22">$B$23*(1+$B$8)^(B46-1)</f>
        <v>-50235.59425988327</v>
      </c>
      <c r="C55" s="22">
        <f t="shared" si="22"/>
        <v>-51742.662087679775</v>
      </c>
      <c r="D55" s="22">
        <f t="shared" si="22"/>
        <v>-53294.94195031016</v>
      </c>
      <c r="E55" s="22">
        <f t="shared" si="22"/>
        <v>-54893.790208819461</v>
      </c>
      <c r="F55" s="22">
        <f t="shared" si="22"/>
        <v>-56540.603915084052</v>
      </c>
      <c r="G55" s="22">
        <f t="shared" si="22"/>
        <v>-58236.822032536576</v>
      </c>
      <c r="H55" s="22">
        <f t="shared" si="22"/>
        <v>-59983.926693512658</v>
      </c>
      <c r="I55" s="22">
        <f t="shared" si="22"/>
        <v>-61783.444494318042</v>
      </c>
      <c r="J55" s="22">
        <f t="shared" si="22"/>
        <v>-63636.947829147583</v>
      </c>
      <c r="K55" s="23">
        <f t="shared" si="22"/>
        <v>-65546.056264022001</v>
      </c>
      <c r="N55" s="3830"/>
      <c r="O55" s="3832"/>
      <c r="Q55" s="847">
        <v>10</v>
      </c>
      <c r="R55" s="945">
        <f>-SUM(B61:K61)</f>
        <v>0</v>
      </c>
      <c r="S55" s="945">
        <f>SUM(B62:K62)+R55</f>
        <v>0</v>
      </c>
      <c r="Z55" s="2807" t="s">
        <v>6773</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6773</v>
      </c>
      <c r="AA56" s="1788">
        <v>56</v>
      </c>
    </row>
    <row r="57" spans="1:27" ht="13.35" customHeight="1">
      <c r="A57" s="21" t="s">
        <v>1157</v>
      </c>
      <c r="B57" s="22">
        <f t="shared" ref="B57:K57" si="23">SUM(B52:B56)</f>
        <v>433121.52443737024</v>
      </c>
      <c r="C57" s="22">
        <f t="shared" si="23"/>
        <v>435893.01155140897</v>
      </c>
      <c r="D57" s="22">
        <f t="shared" si="23"/>
        <v>438542.71950648783</v>
      </c>
      <c r="E57" s="22">
        <f t="shared" si="23"/>
        <v>441064.35085238924</v>
      </c>
      <c r="F57" s="22">
        <f t="shared" si="23"/>
        <v>443448.30313388223</v>
      </c>
      <c r="G57" s="22">
        <f t="shared" si="23"/>
        <v>445686.65801893797</v>
      </c>
      <c r="H57" s="22">
        <f t="shared" si="23"/>
        <v>447771.17006636638</v>
      </c>
      <c r="I57" s="22">
        <f t="shared" si="23"/>
        <v>449693.25512135512</v>
      </c>
      <c r="J57" s="22">
        <f t="shared" si="23"/>
        <v>451441.97832705313</v>
      </c>
      <c r="K57" s="1299">
        <f t="shared" si="23"/>
        <v>453008.04173996323</v>
      </c>
      <c r="N57" s="3830"/>
      <c r="O57" s="3832"/>
      <c r="Z57" s="2807" t="s">
        <v>6773</v>
      </c>
      <c r="AA57" s="1788">
        <v>57</v>
      </c>
    </row>
    <row r="58" spans="1:27" ht="13.35" customHeight="1">
      <c r="A58" s="21" t="str">
        <f>$A26</f>
        <v>Mortgage A</v>
      </c>
      <c r="B58" s="2944">
        <f>IF('Part III-Sources of Funds'!$P$40="", 0,-'Part III-Sources of Funds'!$P$40)</f>
        <v>-329683.67677046813</v>
      </c>
      <c r="C58" s="2944">
        <f>IF('Part III-Sources of Funds'!$P$40="", 0,-'Part III-Sources of Funds'!$P$40)</f>
        <v>-329683.67677046813</v>
      </c>
      <c r="D58" s="2944">
        <f>IF('Part III-Sources of Funds'!$P$40="", 0,-'Part III-Sources of Funds'!$P$40)</f>
        <v>-329683.67677046813</v>
      </c>
      <c r="E58" s="2944">
        <f>IF('Part III-Sources of Funds'!$P$40="", 0,-'Part III-Sources of Funds'!$P$40)</f>
        <v>-329683.67677046813</v>
      </c>
      <c r="F58" s="2944">
        <f>IF('Part III-Sources of Funds'!$P$40="", 0,-'Part III-Sources of Funds'!$P$40)</f>
        <v>-329683.67677046813</v>
      </c>
      <c r="G58" s="2944">
        <f>IF('Part III-Sources of Funds'!$P$40="", 0,-'Part III-Sources of Funds'!$P$40)</f>
        <v>-329683.67677046813</v>
      </c>
      <c r="H58" s="2944">
        <f>IF('Part III-Sources of Funds'!$P$40="", 0,-'Part III-Sources of Funds'!$P$40)</f>
        <v>-329683.67677046813</v>
      </c>
      <c r="I58" s="2944">
        <f>IF('Part III-Sources of Funds'!$P$40="", 0,-'Part III-Sources of Funds'!$P$40)</f>
        <v>-329683.67677046813</v>
      </c>
      <c r="J58" s="2944">
        <f>IF('Part III-Sources of Funds'!$P$40="", 0,-'Part III-Sources of Funds'!$P$40)</f>
        <v>-329683.67677046813</v>
      </c>
      <c r="K58" s="2944">
        <f>IF('Part III-Sources of Funds'!$P$40="", 0,-'Part III-Sources of Funds'!$P$40)</f>
        <v>-329683.67677046813</v>
      </c>
      <c r="N58" s="3830"/>
      <c r="O58" s="3832"/>
      <c r="Z58" s="2807" t="s">
        <v>6773</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6773</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6773</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6773</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6773</v>
      </c>
      <c r="AA62" s="1788">
        <v>62</v>
      </c>
    </row>
    <row r="63" spans="1:27" ht="13.35" customHeight="1">
      <c r="A63" s="409" t="s">
        <v>1121</v>
      </c>
      <c r="B63" s="2945">
        <f>+K31</f>
        <v>-3000</v>
      </c>
      <c r="C63" s="2945">
        <f t="shared" ref="C63:K63" si="24">+B63</f>
        <v>-3000</v>
      </c>
      <c r="D63" s="2945">
        <f t="shared" si="24"/>
        <v>-3000</v>
      </c>
      <c r="E63" s="2945">
        <f t="shared" si="24"/>
        <v>-3000</v>
      </c>
      <c r="F63" s="2945">
        <f t="shared" si="24"/>
        <v>-3000</v>
      </c>
      <c r="G63" s="2945">
        <f t="shared" si="24"/>
        <v>-3000</v>
      </c>
      <c r="H63" s="2945">
        <f t="shared" si="24"/>
        <v>-3000</v>
      </c>
      <c r="I63" s="2945">
        <f t="shared" si="24"/>
        <v>-3000</v>
      </c>
      <c r="J63" s="2945">
        <f t="shared" si="24"/>
        <v>-3000</v>
      </c>
      <c r="K63" s="2945">
        <f t="shared" si="24"/>
        <v>-3000</v>
      </c>
      <c r="N63" s="3830"/>
      <c r="O63" s="3832"/>
      <c r="Z63" s="2807" t="s">
        <v>6773</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6773</v>
      </c>
      <c r="AA64" s="1788">
        <v>64</v>
      </c>
    </row>
    <row r="65" spans="1:27" ht="13.35" customHeight="1">
      <c r="A65" s="21" t="s">
        <v>1122</v>
      </c>
      <c r="B65" s="22">
        <f t="shared" ref="B65:K65" si="25">SUM(B57:B64)</f>
        <v>100437.84766690212</v>
      </c>
      <c r="C65" s="22">
        <f t="shared" si="25"/>
        <v>103209.33478094084</v>
      </c>
      <c r="D65" s="22">
        <f t="shared" si="25"/>
        <v>105859.04273601971</v>
      </c>
      <c r="E65" s="22">
        <f t="shared" si="25"/>
        <v>108380.67408192111</v>
      </c>
      <c r="F65" s="22">
        <f t="shared" si="25"/>
        <v>110764.62636341411</v>
      </c>
      <c r="G65" s="22">
        <f t="shared" si="25"/>
        <v>113002.98124846985</v>
      </c>
      <c r="H65" s="22">
        <f t="shared" si="25"/>
        <v>115087.49329589825</v>
      </c>
      <c r="I65" s="22">
        <f t="shared" si="25"/>
        <v>117009.57835088699</v>
      </c>
      <c r="J65" s="22">
        <f t="shared" si="25"/>
        <v>118758.30155658501</v>
      </c>
      <c r="K65" s="566">
        <f t="shared" si="25"/>
        <v>120324.3649694951</v>
      </c>
      <c r="N65" s="3830"/>
      <c r="O65" s="3832"/>
      <c r="Z65" s="2807" t="s">
        <v>6773</v>
      </c>
      <c r="AA65" s="1788">
        <v>65</v>
      </c>
    </row>
    <row r="66" spans="1:27" ht="13.35" customHeight="1">
      <c r="A66" s="21" t="str">
        <f>$A34</f>
        <v>DCR Mortgage A</v>
      </c>
      <c r="B66" s="24">
        <f t="shared" ref="B66:K66" si="26">IF(B58=0,"",-B57/B58)</f>
        <v>1.3137487687596905</v>
      </c>
      <c r="C66" s="24">
        <f t="shared" si="26"/>
        <v>1.3221552726581782</v>
      </c>
      <c r="D66" s="24">
        <f t="shared" si="26"/>
        <v>1.3301923947293557</v>
      </c>
      <c r="E66" s="24">
        <f t="shared" si="26"/>
        <v>1.3378410334809097</v>
      </c>
      <c r="F66" s="24">
        <f t="shared" si="26"/>
        <v>1.3450720626445183</v>
      </c>
      <c r="G66" s="24">
        <f t="shared" si="26"/>
        <v>1.3518614642520905</v>
      </c>
      <c r="H66" s="24">
        <f t="shared" si="26"/>
        <v>1.3581842281445828</v>
      </c>
      <c r="I66" s="24">
        <f t="shared" si="26"/>
        <v>1.3640143167732259</v>
      </c>
      <c r="J66" s="24">
        <f t="shared" si="26"/>
        <v>1.3693185624150734</v>
      </c>
      <c r="K66" s="25">
        <f t="shared" si="26"/>
        <v>1.3740687624500008</v>
      </c>
      <c r="N66" s="3830"/>
      <c r="O66" s="3832"/>
      <c r="Z66" s="2807" t="s">
        <v>6773</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6773</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6773</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6773</v>
      </c>
      <c r="AA69" s="1787">
        <v>69</v>
      </c>
    </row>
    <row r="70" spans="1:27" ht="13.35" customHeight="1">
      <c r="A70" s="409" t="s">
        <v>3344</v>
      </c>
      <c r="B70" s="24">
        <f t="shared" ref="B70:K70" si="30">IF(AND(B58=0,B59=0,B60=0,B61=0),"",-B57/(B58+B59+B60+B61))</f>
        <v>1.3137487687596905</v>
      </c>
      <c r="C70" s="24">
        <f t="shared" si="30"/>
        <v>1.3221552726581782</v>
      </c>
      <c r="D70" s="24">
        <f t="shared" si="30"/>
        <v>1.3301923947293557</v>
      </c>
      <c r="E70" s="24">
        <f t="shared" si="30"/>
        <v>1.3378410334809097</v>
      </c>
      <c r="F70" s="24">
        <f t="shared" si="30"/>
        <v>1.3450720626445183</v>
      </c>
      <c r="G70" s="24">
        <f t="shared" si="30"/>
        <v>1.3518614642520905</v>
      </c>
      <c r="H70" s="24">
        <f t="shared" si="30"/>
        <v>1.3581842281445828</v>
      </c>
      <c r="I70" s="24">
        <f t="shared" si="30"/>
        <v>1.3640143167732259</v>
      </c>
      <c r="J70" s="24">
        <f t="shared" si="30"/>
        <v>1.3693185624150734</v>
      </c>
      <c r="K70" s="25">
        <f t="shared" si="30"/>
        <v>1.3740687624500008</v>
      </c>
      <c r="N70" s="3830"/>
      <c r="O70" s="3832"/>
      <c r="Z70" s="2807" t="s">
        <v>6773</v>
      </c>
      <c r="AA70" s="1788">
        <v>70</v>
      </c>
    </row>
    <row r="71" spans="1:27" ht="13.35" customHeight="1">
      <c r="A71" s="21" t="s">
        <v>740</v>
      </c>
      <c r="B71" s="263">
        <f t="shared" ref="B71:K71" si="31">IF(OR(B54="Choose mgt fee",B54="Choose One!"),"",(B47+B48+B49+B50+B51) / -(B53+B54+B55))</f>
        <v>1.6737024703528425</v>
      </c>
      <c r="C71" s="263">
        <f t="shared" si="31"/>
        <v>1.6588007206446977</v>
      </c>
      <c r="D71" s="263">
        <f t="shared" si="31"/>
        <v>1.6440185850771609</v>
      </c>
      <c r="E71" s="263">
        <f t="shared" si="31"/>
        <v>1.6293587506204805</v>
      </c>
      <c r="F71" s="263">
        <f t="shared" si="31"/>
        <v>1.6148167060163914</v>
      </c>
      <c r="G71" s="263">
        <f t="shared" si="31"/>
        <v>1.6003928079994652</v>
      </c>
      <c r="H71" s="263">
        <f t="shared" si="31"/>
        <v>1.5860872786623914</v>
      </c>
      <c r="I71" s="263">
        <f t="shared" si="31"/>
        <v>1.57190021625888</v>
      </c>
      <c r="J71" s="263">
        <f t="shared" si="31"/>
        <v>1.5578277554389934</v>
      </c>
      <c r="K71" s="264">
        <f t="shared" si="31"/>
        <v>1.5438702049300381</v>
      </c>
      <c r="N71" s="3830"/>
      <c r="O71" s="3832"/>
      <c r="Z71" s="2807" t="s">
        <v>6773</v>
      </c>
      <c r="AA71" s="1788">
        <v>71</v>
      </c>
    </row>
    <row r="72" spans="1:27" ht="13.35" customHeight="1">
      <c r="A72" s="409" t="s">
        <v>2493</v>
      </c>
      <c r="B72" s="2949">
        <f>IF('Part III-Sources of Funds'!$I$40="","",-FV('Part III-Sources of Funds'!$K$40/12,12,B58/12,K40))</f>
        <v>4954988.0589474356</v>
      </c>
      <c r="C72" s="2949">
        <f>IF('Part III-Sources of Funds'!$I$40="","",-FV('Part III-Sources of Funds'!$K$40/12,12,C58/12,B72))</f>
        <v>4833543.8632744625</v>
      </c>
      <c r="D72" s="2949">
        <f>IF('Part III-Sources of Funds'!$I$40="","",-FV('Part III-Sources of Funds'!$K$40/12,12,D58/12,C72))</f>
        <v>4706836.5535019645</v>
      </c>
      <c r="E72" s="2949">
        <f>IF('Part III-Sources of Funds'!$I$40="","",-FV('Part III-Sources of Funds'!$K$40/12,12,E58/12,D72))</f>
        <v>4574638.0382841919</v>
      </c>
      <c r="F72" s="2949">
        <f>IF('Part III-Sources of Funds'!$I$40="","",-FV('Part III-Sources of Funds'!$K$40/12,12,F58/12,E72))</f>
        <v>4436710.3413173584</v>
      </c>
      <c r="G72" s="2949">
        <f>IF('Part III-Sources of Funds'!$I$40="","",-FV('Part III-Sources of Funds'!$K$40/12,12,G58/12,F72))</f>
        <v>4292805.1729481379</v>
      </c>
      <c r="H72" s="2949">
        <f>IF('Part III-Sources of Funds'!$I$40="","",-FV('Part III-Sources of Funds'!$K$40/12,12,H58/12,G72))</f>
        <v>4142663.4832166443</v>
      </c>
      <c r="I72" s="2949">
        <f>IF('Part III-Sources of Funds'!$I$40="","",-FV('Part III-Sources of Funds'!$K$40/12,12,I58/12,H72))</f>
        <v>3986014.9955293201</v>
      </c>
      <c r="J72" s="2949">
        <f>IF('Part III-Sources of Funds'!$I$40="","",-FV('Part III-Sources of Funds'!$K$40/12,12,J58/12,I72))</f>
        <v>3822577.7201222726</v>
      </c>
      <c r="K72" s="2949">
        <f>IF('Part III-Sources of Funds'!$I$40="","",-FV('Part III-Sources of Funds'!$K$40/12,12,K58/12,J72))</f>
        <v>3652057.4464392178</v>
      </c>
      <c r="N72" s="3830"/>
      <c r="O72" s="3832"/>
      <c r="Z72" s="2807" t="s">
        <v>6773</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6773</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6773</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6773</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6773</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2498</v>
      </c>
      <c r="O78" s="3479"/>
      <c r="AA78" s="1788">
        <v>78</v>
      </c>
    </row>
    <row r="79" spans="1:27" ht="13.35" customHeight="1">
      <c r="A79" s="18" t="s">
        <v>2294</v>
      </c>
      <c r="B79" s="19">
        <f t="shared" ref="B79:K79" si="33">$B$15*(1+$B$6)^(B78-1)</f>
        <v>1382733.4898536978</v>
      </c>
      <c r="C79" s="19">
        <f t="shared" si="33"/>
        <v>1410388.1596507716</v>
      </c>
      <c r="D79" s="19">
        <f t="shared" si="33"/>
        <v>1438595.9228437871</v>
      </c>
      <c r="E79" s="19">
        <f t="shared" si="33"/>
        <v>1467367.8413006626</v>
      </c>
      <c r="F79" s="19">
        <f t="shared" si="33"/>
        <v>1496715.1981266758</v>
      </c>
      <c r="G79" s="19">
        <f t="shared" si="33"/>
        <v>1526649.5020892094</v>
      </c>
      <c r="H79" s="19">
        <f t="shared" si="33"/>
        <v>1557182.4921309939</v>
      </c>
      <c r="I79" s="19">
        <f t="shared" si="33"/>
        <v>1588326.1419736133</v>
      </c>
      <c r="J79" s="19">
        <f t="shared" si="33"/>
        <v>1620092.6648130859</v>
      </c>
      <c r="K79" s="20">
        <f t="shared" si="33"/>
        <v>1652494.5181093474</v>
      </c>
      <c r="N79" s="3839"/>
      <c r="O79" s="3841"/>
      <c r="Z79" s="2807" t="s">
        <v>6774</v>
      </c>
      <c r="AA79" s="1788">
        <v>79</v>
      </c>
    </row>
    <row r="80" spans="1:27" ht="13.35" customHeight="1">
      <c r="A80" s="21" t="s">
        <v>977</v>
      </c>
      <c r="B80" s="22">
        <f t="shared" ref="B80:K80" si="34">$B$16*(1+$B$6)^(B78-1)</f>
        <v>27654.669797073955</v>
      </c>
      <c r="C80" s="22">
        <f t="shared" si="34"/>
        <v>28207.763193015431</v>
      </c>
      <c r="D80" s="22">
        <f t="shared" si="34"/>
        <v>28771.918456875741</v>
      </c>
      <c r="E80" s="22">
        <f t="shared" si="34"/>
        <v>29347.356826013252</v>
      </c>
      <c r="F80" s="22">
        <f t="shared" si="34"/>
        <v>29934.303962533519</v>
      </c>
      <c r="G80" s="22">
        <f t="shared" si="34"/>
        <v>30532.990041784189</v>
      </c>
      <c r="H80" s="22">
        <f t="shared" si="34"/>
        <v>31143.649842619874</v>
      </c>
      <c r="I80" s="22">
        <f t="shared" si="34"/>
        <v>31766.522839472265</v>
      </c>
      <c r="J80" s="22">
        <f t="shared" si="34"/>
        <v>32401.853296261717</v>
      </c>
      <c r="K80" s="23">
        <f t="shared" si="34"/>
        <v>33049.890362186947</v>
      </c>
      <c r="N80" s="3830"/>
      <c r="O80" s="3832"/>
      <c r="Z80" s="2807" t="s">
        <v>6774</v>
      </c>
      <c r="AA80" s="1788">
        <v>80</v>
      </c>
    </row>
    <row r="81" spans="1:27" ht="13.35" customHeight="1">
      <c r="A81" s="21" t="s">
        <v>2295</v>
      </c>
      <c r="B81" s="22">
        <f t="shared" ref="B81:K81" si="35">-(B79+B80)*$B$9</f>
        <v>-98727.171175554045</v>
      </c>
      <c r="C81" s="22">
        <f t="shared" si="35"/>
        <v>-100701.7145990651</v>
      </c>
      <c r="D81" s="22">
        <f t="shared" si="35"/>
        <v>-102715.7488910464</v>
      </c>
      <c r="E81" s="22">
        <f t="shared" si="35"/>
        <v>-104770.06386886732</v>
      </c>
      <c r="F81" s="22">
        <f t="shared" si="35"/>
        <v>-106865.46514624466</v>
      </c>
      <c r="G81" s="22">
        <f t="shared" si="35"/>
        <v>-109002.77444916956</v>
      </c>
      <c r="H81" s="22">
        <f t="shared" si="35"/>
        <v>-111182.82993815298</v>
      </c>
      <c r="I81" s="22">
        <f t="shared" si="35"/>
        <v>-113406.486536916</v>
      </c>
      <c r="J81" s="22">
        <f t="shared" si="35"/>
        <v>-115674.61626765435</v>
      </c>
      <c r="K81" s="23">
        <f t="shared" si="35"/>
        <v>-117988.10859300742</v>
      </c>
      <c r="N81" s="3830"/>
      <c r="O81" s="3832"/>
      <c r="Z81" s="2807" t="s">
        <v>6774</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6774</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6774</v>
      </c>
      <c r="AA83" s="1787">
        <v>83</v>
      </c>
    </row>
    <row r="84" spans="1:27" ht="13.35" customHeight="1">
      <c r="A84" s="409" t="s">
        <v>4014</v>
      </c>
      <c r="B84" s="22">
        <f t="shared" ref="B84:K84" si="36">SUM(B79:B83)</f>
        <v>1311660.9884752179</v>
      </c>
      <c r="C84" s="22">
        <f t="shared" si="36"/>
        <v>1337894.2082447221</v>
      </c>
      <c r="D84" s="22">
        <f t="shared" si="36"/>
        <v>1364652.0924096163</v>
      </c>
      <c r="E84" s="22">
        <f t="shared" si="36"/>
        <v>1391945.1342578086</v>
      </c>
      <c r="F84" s="22">
        <f t="shared" si="36"/>
        <v>1419784.0369429647</v>
      </c>
      <c r="G84" s="22">
        <f t="shared" si="36"/>
        <v>1448179.717681824</v>
      </c>
      <c r="H84" s="22">
        <f t="shared" si="36"/>
        <v>1477143.3120354607</v>
      </c>
      <c r="I84" s="22">
        <f t="shared" si="36"/>
        <v>1506686.1782761696</v>
      </c>
      <c r="J84" s="22">
        <f t="shared" si="36"/>
        <v>1536819.9018416933</v>
      </c>
      <c r="K84" s="23">
        <f t="shared" si="36"/>
        <v>1567556.2998785272</v>
      </c>
      <c r="N84" s="3830"/>
      <c r="O84" s="3832"/>
      <c r="Z84" s="2807" t="s">
        <v>6774</v>
      </c>
      <c r="AA84" s="1788">
        <v>84</v>
      </c>
    </row>
    <row r="85" spans="1:27" ht="13.35" customHeight="1">
      <c r="A85" s="21" t="s">
        <v>585</v>
      </c>
      <c r="B85" s="22">
        <f t="shared" ref="B85:K85" si="37">$B$21*(1+$B$7)^(B78-1)</f>
        <v>-724183.77898675192</v>
      </c>
      <c r="C85" s="22">
        <f t="shared" si="37"/>
        <v>-745909.29235635442</v>
      </c>
      <c r="D85" s="22">
        <f t="shared" si="37"/>
        <v>-768286.57112704508</v>
      </c>
      <c r="E85" s="22">
        <f t="shared" si="37"/>
        <v>-791335.16826085653</v>
      </c>
      <c r="F85" s="22">
        <f t="shared" si="37"/>
        <v>-815075.22330868209</v>
      </c>
      <c r="G85" s="22">
        <f t="shared" si="37"/>
        <v>-839527.48000794253</v>
      </c>
      <c r="H85" s="22">
        <f t="shared" si="37"/>
        <v>-864713.30440818099</v>
      </c>
      <c r="I85" s="22">
        <f t="shared" si="37"/>
        <v>-890654.70354042621</v>
      </c>
      <c r="J85" s="22">
        <f t="shared" si="37"/>
        <v>-917374.34464663907</v>
      </c>
      <c r="K85" s="23">
        <f t="shared" si="37"/>
        <v>-944895.57498603815</v>
      </c>
      <c r="N85" s="3830"/>
      <c r="O85" s="3832"/>
      <c r="Z85" s="2807" t="s">
        <v>6774</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-65583</v>
      </c>
      <c r="C86" s="22">
        <f>IF(AND('Part VII-Pro Forma'!$G$9="Yes",'Part VII-Pro Forma'!$G$10="Yes"),"Choose One!",IF('Part VII-Pro Forma'!$G$9="Yes",ROUND((-$K$9*(1+'Part VII-Pro Forma'!$B$7)^('Part VII-Pro Forma'!C78-1)),),IF('Part VII-Pro Forma'!$G$10="Yes",ROUND((-(SUM(C79:C82)*'Part VII-Pro Forma'!$K$10)),),"Choose mgt fee")))</f>
        <v>-66895</v>
      </c>
      <c r="D86" s="22">
        <f>IF(AND('Part VII-Pro Forma'!$G$9="Yes",'Part VII-Pro Forma'!$G$10="Yes"),"Choose One!",IF('Part VII-Pro Forma'!$G$9="Yes",ROUND((-$K$9*(1+'Part VII-Pro Forma'!$B$7)^('Part VII-Pro Forma'!D78-1)),),IF('Part VII-Pro Forma'!$G$10="Yes",ROUND((-(SUM(D79:D82)*'Part VII-Pro Forma'!$K$10)),),"Choose mgt fee")))</f>
        <v>-68233</v>
      </c>
      <c r="E86" s="22">
        <f>IF(AND('Part VII-Pro Forma'!$G$9="Yes",'Part VII-Pro Forma'!$G$10="Yes"),"Choose One!",IF('Part VII-Pro Forma'!$G$9="Yes",ROUND((-$K$9*(1+'Part VII-Pro Forma'!$B$7)^('Part VII-Pro Forma'!E78-1)),),IF('Part VII-Pro Forma'!$G$10="Yes",ROUND((-(SUM(E79:E82)*'Part VII-Pro Forma'!$K$10)),),"Choose mgt fee")))</f>
        <v>-69597</v>
      </c>
      <c r="F86" s="22">
        <f>IF(AND('Part VII-Pro Forma'!$G$9="Yes",'Part VII-Pro Forma'!$G$10="Yes"),"Choose One!",IF('Part VII-Pro Forma'!$G$9="Yes",ROUND((-$K$9*(1+'Part VII-Pro Forma'!$B$7)^('Part VII-Pro Forma'!F78-1)),),IF('Part VII-Pro Forma'!$G$10="Yes",ROUND((-(SUM(F79:F82)*'Part VII-Pro Forma'!$K$10)),),"Choose mgt fee")))</f>
        <v>-70989</v>
      </c>
      <c r="G86" s="22">
        <f>IF(AND('Part VII-Pro Forma'!$G$9="Yes",'Part VII-Pro Forma'!$G$10="Yes"),"Choose One!",IF('Part VII-Pro Forma'!$G$9="Yes",ROUND((-$K$9*(1+'Part VII-Pro Forma'!$B$7)^('Part VII-Pro Forma'!G78-1)),),IF('Part VII-Pro Forma'!$G$10="Yes",ROUND((-(SUM(G79:G82)*'Part VII-Pro Forma'!$K$10)),),"Choose mgt fee")))</f>
        <v>-72409</v>
      </c>
      <c r="H86" s="22">
        <f>IF(AND('Part VII-Pro Forma'!$G$9="Yes",'Part VII-Pro Forma'!$G$10="Yes"),"Choose One!",IF('Part VII-Pro Forma'!$G$9="Yes",ROUND((-$K$9*(1+'Part VII-Pro Forma'!$B$7)^('Part VII-Pro Forma'!H78-1)),),IF('Part VII-Pro Forma'!$G$10="Yes",ROUND((-(SUM(H79:H82)*'Part VII-Pro Forma'!$K$10)),),"Choose mgt fee")))</f>
        <v>-73857</v>
      </c>
      <c r="I86" s="22">
        <f>IF(AND('Part VII-Pro Forma'!$G$9="Yes",'Part VII-Pro Forma'!$G$10="Yes"),"Choose One!",IF('Part VII-Pro Forma'!$G$9="Yes",ROUND((-$K$9*(1+'Part VII-Pro Forma'!$B$7)^('Part VII-Pro Forma'!I78-1)),),IF('Part VII-Pro Forma'!$G$10="Yes",ROUND((-(SUM(I79:I82)*'Part VII-Pro Forma'!$K$10)),),"Choose mgt fee")))</f>
        <v>-75334</v>
      </c>
      <c r="J86" s="22">
        <f>IF(AND('Part VII-Pro Forma'!$G$9="Yes",'Part VII-Pro Forma'!$G$10="Yes"),"Choose One!",IF('Part VII-Pro Forma'!$G$9="Yes",ROUND((-$K$9*(1+'Part VII-Pro Forma'!$B$7)^('Part VII-Pro Forma'!J78-1)),),IF('Part VII-Pro Forma'!$G$10="Yes",ROUND((-(SUM(J79:J82)*'Part VII-Pro Forma'!$K$10)),),"Choose mgt fee")))</f>
        <v>-76841</v>
      </c>
      <c r="K86" s="23">
        <f>IF(AND('Part VII-Pro Forma'!$G$9="Yes",'Part VII-Pro Forma'!$G$10="Yes"),"Choose One!",IF('Part VII-Pro Forma'!$G$9="Yes",ROUND((-$K$9*(1+'Part VII-Pro Forma'!$B$7)^('Part VII-Pro Forma'!K78-1)),),IF('Part VII-Pro Forma'!$G$10="Yes",ROUND((-(SUM(K79:K82)*'Part VII-Pro Forma'!$K$10)),),"Choose mgt fee")))</f>
        <v>-78378</v>
      </c>
      <c r="N86" s="3830"/>
      <c r="O86" s="3832"/>
      <c r="Z86" s="2807" t="s">
        <v>6774</v>
      </c>
      <c r="AA86" s="1788">
        <v>86</v>
      </c>
    </row>
    <row r="87" spans="1:27" ht="13.35" customHeight="1">
      <c r="A87" s="21" t="s">
        <v>1156</v>
      </c>
      <c r="B87" s="22">
        <f t="shared" ref="B87:K87" si="38">$B$23*(1+$B$8)^(B78-1)</f>
        <v>-67512.437951942673</v>
      </c>
      <c r="C87" s="22">
        <f t="shared" si="38"/>
        <v>-69537.811090500938</v>
      </c>
      <c r="D87" s="22">
        <f t="shared" si="38"/>
        <v>-71623.945423215977</v>
      </c>
      <c r="E87" s="22">
        <f t="shared" si="38"/>
        <v>-73772.66378591246</v>
      </c>
      <c r="F87" s="22">
        <f t="shared" si="38"/>
        <v>-75985.843699489822</v>
      </c>
      <c r="G87" s="22">
        <f t="shared" si="38"/>
        <v>-78265.419010474507</v>
      </c>
      <c r="H87" s="22">
        <f t="shared" si="38"/>
        <v>-80613.381580788759</v>
      </c>
      <c r="I87" s="22">
        <f t="shared" si="38"/>
        <v>-83031.78302821242</v>
      </c>
      <c r="J87" s="22">
        <f t="shared" si="38"/>
        <v>-85522.736519058788</v>
      </c>
      <c r="K87" s="23">
        <f t="shared" si="38"/>
        <v>-88088.418614630544</v>
      </c>
      <c r="N87" s="3830"/>
      <c r="O87" s="3832"/>
      <c r="Q87" s="847">
        <v>10</v>
      </c>
      <c r="R87" s="945">
        <f>-SUM(B93:K93)</f>
        <v>0</v>
      </c>
      <c r="S87" s="945">
        <f>SUM(B94:K94)+R87</f>
        <v>0</v>
      </c>
      <c r="Z87" s="2807" t="s">
        <v>6774</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6774</v>
      </c>
      <c r="AA88" s="1788">
        <v>88</v>
      </c>
    </row>
    <row r="89" spans="1:27" ht="13.35" customHeight="1">
      <c r="A89" s="21" t="s">
        <v>1157</v>
      </c>
      <c r="B89" s="22">
        <f t="shared" ref="B89:K89" si="39">SUM(B84:B88)</f>
        <v>454381.77153652336</v>
      </c>
      <c r="C89" s="22">
        <f t="shared" si="39"/>
        <v>455552.10479786678</v>
      </c>
      <c r="D89" s="22">
        <f t="shared" si="39"/>
        <v>456508.57585935527</v>
      </c>
      <c r="E89" s="22">
        <f t="shared" si="39"/>
        <v>457240.30221103958</v>
      </c>
      <c r="F89" s="22">
        <f t="shared" si="39"/>
        <v>457733.96993479272</v>
      </c>
      <c r="G89" s="22">
        <f t="shared" si="39"/>
        <v>457977.81866340694</v>
      </c>
      <c r="H89" s="22">
        <f t="shared" si="39"/>
        <v>457959.62604649097</v>
      </c>
      <c r="I89" s="22">
        <f t="shared" si="39"/>
        <v>457665.69170753093</v>
      </c>
      <c r="J89" s="22">
        <f t="shared" si="39"/>
        <v>457081.82067599543</v>
      </c>
      <c r="K89" s="1299">
        <f t="shared" si="39"/>
        <v>456194.3062778585</v>
      </c>
      <c r="N89" s="3830"/>
      <c r="O89" s="3832"/>
      <c r="Z89" s="2807" t="s">
        <v>6774</v>
      </c>
      <c r="AA89" s="1788">
        <v>89</v>
      </c>
    </row>
    <row r="90" spans="1:27" ht="13.35" customHeight="1">
      <c r="A90" s="21" t="str">
        <f>$A58</f>
        <v>Mortgage A</v>
      </c>
      <c r="B90" s="2944">
        <f>IF('Part III-Sources of Funds'!$P$40="", 0,-'Part III-Sources of Funds'!$P$40)</f>
        <v>-329683.67677046813</v>
      </c>
      <c r="C90" s="2944">
        <f>IF('Part III-Sources of Funds'!$P$40="", 0,-'Part III-Sources of Funds'!$P$40)</f>
        <v>-329683.67677046813</v>
      </c>
      <c r="D90" s="2944">
        <f>IF('Part III-Sources of Funds'!$P$40="", 0,-'Part III-Sources of Funds'!$P$40)</f>
        <v>-329683.67677046813</v>
      </c>
      <c r="E90" s="2944">
        <f>IF('Part III-Sources of Funds'!$P$40="", 0,-'Part III-Sources of Funds'!$P$40)</f>
        <v>-329683.67677046813</v>
      </c>
      <c r="F90" s="2944">
        <f>IF('Part III-Sources of Funds'!$P$40="", 0,-'Part III-Sources of Funds'!$P$40)</f>
        <v>-329683.67677046813</v>
      </c>
      <c r="G90" s="2944">
        <f>IF('Part III-Sources of Funds'!$P$40="", 0,-'Part III-Sources of Funds'!$P$40)</f>
        <v>-329683.67677046813</v>
      </c>
      <c r="H90" s="2944">
        <f>IF('Part III-Sources of Funds'!$P$40="", 0,-'Part III-Sources of Funds'!$P$40)</f>
        <v>-329683.67677046813</v>
      </c>
      <c r="I90" s="2944">
        <f>IF('Part III-Sources of Funds'!$P$40="", 0,-'Part III-Sources of Funds'!$P$40)</f>
        <v>-329683.67677046813</v>
      </c>
      <c r="J90" s="2944">
        <f>IF('Part III-Sources of Funds'!$P$40="", 0,-'Part III-Sources of Funds'!$P$40)</f>
        <v>-329683.67677046813</v>
      </c>
      <c r="K90" s="2944">
        <f>IF('Part III-Sources of Funds'!$P$40="", 0,-'Part III-Sources of Funds'!$P$40)</f>
        <v>-329683.67677046813</v>
      </c>
      <c r="N90" s="3830"/>
      <c r="O90" s="3832"/>
      <c r="Z90" s="2807" t="s">
        <v>6774</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6774</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6774</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6774</v>
      </c>
      <c r="AA93" s="1788">
        <v>93</v>
      </c>
    </row>
    <row r="94" spans="1:27" ht="13.35" customHeight="1">
      <c r="A94" s="21" t="s">
        <v>733</v>
      </c>
      <c r="B94" s="2946"/>
      <c r="C94" s="2946"/>
      <c r="D94" s="2946"/>
      <c r="E94" s="2946"/>
      <c r="F94" s="2946"/>
      <c r="G94" s="2946"/>
      <c r="H94" s="2946"/>
      <c r="I94" s="2946"/>
      <c r="J94" s="2946"/>
      <c r="K94" s="2946"/>
      <c r="N94" s="3830"/>
      <c r="O94" s="3832"/>
      <c r="Z94" s="2807" t="s">
        <v>6774</v>
      </c>
      <c r="AA94" s="1788">
        <v>94</v>
      </c>
    </row>
    <row r="95" spans="1:27" ht="13.35" customHeight="1">
      <c r="A95" s="409" t="s">
        <v>1121</v>
      </c>
      <c r="B95" s="2948">
        <f>+K63</f>
        <v>-3000</v>
      </c>
      <c r="C95" s="2948">
        <f t="shared" ref="C95:K95" si="40">+B95</f>
        <v>-3000</v>
      </c>
      <c r="D95" s="2948">
        <f t="shared" si="40"/>
        <v>-3000</v>
      </c>
      <c r="E95" s="2948">
        <f t="shared" si="40"/>
        <v>-3000</v>
      </c>
      <c r="F95" s="2948">
        <f t="shared" si="40"/>
        <v>-3000</v>
      </c>
      <c r="G95" s="2948">
        <f t="shared" si="40"/>
        <v>-3000</v>
      </c>
      <c r="H95" s="2948">
        <f t="shared" si="40"/>
        <v>-3000</v>
      </c>
      <c r="I95" s="2948">
        <f t="shared" si="40"/>
        <v>-3000</v>
      </c>
      <c r="J95" s="2948">
        <f t="shared" si="40"/>
        <v>-3000</v>
      </c>
      <c r="K95" s="2948">
        <f t="shared" si="40"/>
        <v>-3000</v>
      </c>
      <c r="N95" s="3830"/>
      <c r="O95" s="3832"/>
      <c r="Z95" s="2807" t="s">
        <v>6774</v>
      </c>
      <c r="AA95" s="1788">
        <v>95</v>
      </c>
    </row>
    <row r="96" spans="1:27" ht="13.35" customHeight="1">
      <c r="A96" s="21" t="s">
        <v>1122</v>
      </c>
      <c r="B96" s="22">
        <f t="shared" ref="B96:K96" si="41">SUM(B89:B95)</f>
        <v>121698.09476605523</v>
      </c>
      <c r="C96" s="22">
        <f t="shared" si="41"/>
        <v>122868.42802739865</v>
      </c>
      <c r="D96" s="22">
        <f t="shared" si="41"/>
        <v>123824.89908888715</v>
      </c>
      <c r="E96" s="22">
        <f t="shared" si="41"/>
        <v>124556.62544057146</v>
      </c>
      <c r="F96" s="22">
        <f t="shared" si="41"/>
        <v>125050.2931643246</v>
      </c>
      <c r="G96" s="22">
        <f t="shared" si="41"/>
        <v>125294.14189293882</v>
      </c>
      <c r="H96" s="22">
        <f t="shared" si="41"/>
        <v>125275.94927602285</v>
      </c>
      <c r="I96" s="22">
        <f t="shared" si="41"/>
        <v>124982.01493706281</v>
      </c>
      <c r="J96" s="22">
        <f t="shared" si="41"/>
        <v>124398.14390552731</v>
      </c>
      <c r="K96" s="23">
        <f t="shared" si="41"/>
        <v>123510.62950739037</v>
      </c>
      <c r="N96" s="3830"/>
      <c r="O96" s="3832"/>
      <c r="Z96" s="2807" t="s">
        <v>6774</v>
      </c>
      <c r="AA96" s="1788">
        <v>96</v>
      </c>
    </row>
    <row r="97" spans="1:27" ht="13.35" customHeight="1">
      <c r="A97" s="21" t="str">
        <f>$A66</f>
        <v>DCR Mortgage A</v>
      </c>
      <c r="B97" s="24">
        <f t="shared" ref="B97:K97" si="42">IF(B90=0,"",-B89/B90)</f>
        <v>1.3782355741345131</v>
      </c>
      <c r="C97" s="24">
        <f t="shared" si="42"/>
        <v>1.3817854413066091</v>
      </c>
      <c r="D97" s="24">
        <f t="shared" si="42"/>
        <v>1.3846866194021035</v>
      </c>
      <c r="E97" s="24">
        <f t="shared" si="42"/>
        <v>1.3869060994772233</v>
      </c>
      <c r="F97" s="24">
        <f t="shared" si="42"/>
        <v>1.3884034976153083</v>
      </c>
      <c r="G97" s="24">
        <f t="shared" si="42"/>
        <v>1.3891431421467055</v>
      </c>
      <c r="H97" s="24">
        <f t="shared" si="42"/>
        <v>1.389087960109505</v>
      </c>
      <c r="I97" s="24">
        <f t="shared" si="42"/>
        <v>1.3881963953773977</v>
      </c>
      <c r="J97" s="24">
        <f t="shared" si="42"/>
        <v>1.3864253916162923</v>
      </c>
      <c r="K97" s="25">
        <f t="shared" si="42"/>
        <v>1.3837333735982003</v>
      </c>
      <c r="N97" s="3830"/>
      <c r="O97" s="3832"/>
      <c r="Z97" s="2807" t="s">
        <v>6774</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6774</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6774</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6774</v>
      </c>
      <c r="AA100" s="1787">
        <v>100</v>
      </c>
    </row>
    <row r="101" spans="1:27" ht="13.35" customHeight="1">
      <c r="A101" s="409" t="s">
        <v>3344</v>
      </c>
      <c r="B101" s="24">
        <f t="shared" ref="B101:K101" si="46">IF(AND(B90=0,B91=0,B92=0,B93=0),"",-B89/(B90+B91+B92+B93))</f>
        <v>1.3782355741345131</v>
      </c>
      <c r="C101" s="24">
        <f t="shared" si="46"/>
        <v>1.3817854413066091</v>
      </c>
      <c r="D101" s="24">
        <f t="shared" si="46"/>
        <v>1.3846866194021035</v>
      </c>
      <c r="E101" s="24">
        <f t="shared" si="46"/>
        <v>1.3869060994772233</v>
      </c>
      <c r="F101" s="24">
        <f t="shared" si="46"/>
        <v>1.3884034976153083</v>
      </c>
      <c r="G101" s="24">
        <f t="shared" si="46"/>
        <v>1.3891431421467055</v>
      </c>
      <c r="H101" s="24">
        <f t="shared" si="46"/>
        <v>1.389087960109505</v>
      </c>
      <c r="I101" s="24">
        <f t="shared" si="46"/>
        <v>1.3881963953773977</v>
      </c>
      <c r="J101" s="24">
        <f t="shared" si="46"/>
        <v>1.3864253916162923</v>
      </c>
      <c r="K101" s="25">
        <f t="shared" si="46"/>
        <v>1.3837333735982003</v>
      </c>
      <c r="N101" s="3830"/>
      <c r="O101" s="3832"/>
      <c r="Z101" s="2807" t="s">
        <v>6774</v>
      </c>
      <c r="AA101" s="1788">
        <v>101</v>
      </c>
    </row>
    <row r="102" spans="1:27" ht="13.35" customHeight="1">
      <c r="A102" s="21" t="s">
        <v>740</v>
      </c>
      <c r="B102" s="263">
        <f>IF(OR(B86="Choose mgt fee",B86="Choose One!"),"",(B79+B80+B81+B82+B83) / -(B85+B86+B87))</f>
        <v>1.5300277465714147</v>
      </c>
      <c r="C102" s="263">
        <f t="shared" ref="C102:K102" si="47">IF(OR(C86="Choose mgt fee",C86="Choose One!"),"",(C79+C80+C81+C82+C83) / -(C85+C86+C87))</f>
        <v>1.5162987270110535</v>
      </c>
      <c r="D102" s="263">
        <f t="shared" si="47"/>
        <v>1.5026832956904008</v>
      </c>
      <c r="E102" s="263">
        <f t="shared" si="47"/>
        <v>1.4891814897434499</v>
      </c>
      <c r="F102" s="263">
        <f t="shared" si="47"/>
        <v>1.4757901752018741</v>
      </c>
      <c r="G102" s="263">
        <f t="shared" si="47"/>
        <v>1.4625095337803315</v>
      </c>
      <c r="H102" s="263">
        <f t="shared" si="47"/>
        <v>1.4493396355752179</v>
      </c>
      <c r="I102" s="263">
        <f t="shared" si="47"/>
        <v>1.4362790789763908</v>
      </c>
      <c r="J102" s="263">
        <f t="shared" si="47"/>
        <v>1.4233265721095292</v>
      </c>
      <c r="K102" s="264">
        <f t="shared" si="47"/>
        <v>1.4104821911354448</v>
      </c>
      <c r="N102" s="3830"/>
      <c r="O102" s="3832"/>
      <c r="Z102" s="2807" t="s">
        <v>6774</v>
      </c>
      <c r="AA102" s="1788">
        <v>102</v>
      </c>
    </row>
    <row r="103" spans="1:27" ht="13.35" customHeight="1">
      <c r="A103" s="409" t="s">
        <v>2493</v>
      </c>
      <c r="B103" s="2949">
        <f>IF('Part III-Sources of Funds'!$I$40="","",-FV('Part III-Sources of Funds'!$K$40/12,12,B90/12,K72))</f>
        <v>3474147.2135102483</v>
      </c>
      <c r="C103" s="2949">
        <f>IF('Part III-Sources of Funds'!$I$40="","",-FV('Part III-Sources of Funds'!$K$40/12,12,C90/12,B103))</f>
        <v>3288526.7573780254</v>
      </c>
      <c r="D103" s="2949">
        <f>IF('Part III-Sources of Funds'!$I$40="","",-FV('Part III-Sources of Funds'!$K$40/12,12,D90/12,C103))</f>
        <v>3094861.9345766827</v>
      </c>
      <c r="E103" s="2949">
        <f>IF('Part III-Sources of Funds'!$I$40="","",-FV('Part III-Sources of Funds'!$K$40/12,12,E90/12,D103))</f>
        <v>2892804.120625623</v>
      </c>
      <c r="F103" s="2949">
        <f>IF('Part III-Sources of Funds'!$I$40="","",-FV('Part III-Sources of Funds'!$K$40/12,12,F90/12,E103))</f>
        <v>2681989.5824554111</v>
      </c>
      <c r="G103" s="2949">
        <f>IF('Part III-Sources of Funds'!$I$40="","",-FV('Part III-Sources of Funds'!$K$40/12,12,G90/12,F103))</f>
        <v>2462038.8236360354</v>
      </c>
      <c r="H103" s="2949">
        <f>IF('Part III-Sources of Funds'!$I$40="","",-FV('Part III-Sources of Funds'!$K$40/12,12,H90/12,G103))</f>
        <v>2232555.901228861</v>
      </c>
      <c r="I103" s="2949">
        <f>IF('Part III-Sources of Funds'!$I$40="","",-FV('Part III-Sources of Funds'!$K$40/12,12,I90/12,H103))</f>
        <v>1993127.7130325022</v>
      </c>
      <c r="J103" s="2949">
        <f>IF('Part III-Sources of Funds'!$I$40="","",-FV('Part III-Sources of Funds'!$K$40/12,12,J90/12,I103))</f>
        <v>1743323.2539395641</v>
      </c>
      <c r="K103" s="2949">
        <f>IF('Part III-Sources of Funds'!$I$40="","",-FV('Part III-Sources of Funds'!$K$40/12,12,K90/12,J103))</f>
        <v>1482692.8400655789</v>
      </c>
      <c r="N103" s="3830"/>
      <c r="O103" s="3832"/>
      <c r="Z103" s="2807" t="s">
        <v>6774</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6774</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6774</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6774</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3335</v>
      </c>
      <c r="O108" s="3479"/>
      <c r="AA108" s="1788">
        <v>108</v>
      </c>
    </row>
    <row r="109" spans="1:27" ht="13.35" customHeight="1">
      <c r="A109" s="18" t="s">
        <v>2294</v>
      </c>
      <c r="B109" s="19">
        <f>$B$15*(1+$B$6)^(B108-1)</f>
        <v>1685544.4084715345</v>
      </c>
      <c r="C109" s="19">
        <f>$B$15*(1+$B$6)^(C108-1)</f>
        <v>1719255.2966409649</v>
      </c>
      <c r="D109" s="19">
        <f>$B$15*(1+$B$6)^(D108-1)</f>
        <v>1753640.4025737846</v>
      </c>
      <c r="E109" s="19">
        <f>$B$15*(1+$B$6)^(E108-1)</f>
        <v>1788713.2106252604</v>
      </c>
      <c r="F109" s="566">
        <f>$B$15*(1+$B$6)^(F108-1)</f>
        <v>1824487.4748377653</v>
      </c>
      <c r="G109" s="17"/>
      <c r="H109" s="17"/>
      <c r="I109" s="17"/>
      <c r="J109" s="17"/>
      <c r="K109" s="17"/>
      <c r="N109" s="3839"/>
      <c r="O109" s="3841"/>
      <c r="Z109" s="2807" t="s">
        <v>6775</v>
      </c>
      <c r="AA109" s="1787">
        <v>109</v>
      </c>
    </row>
    <row r="110" spans="1:27" ht="13.35" customHeight="1">
      <c r="A110" s="21" t="s">
        <v>977</v>
      </c>
      <c r="B110" s="22">
        <f>$B$16*(1+$B$6)^(B108-1)</f>
        <v>33710.888169430691</v>
      </c>
      <c r="C110" s="22">
        <f>$B$16*(1+$B$6)^(C108-1)</f>
        <v>34385.105932819293</v>
      </c>
      <c r="D110" s="22">
        <f>$B$16*(1+$B$6)^(D108-1)</f>
        <v>35072.808051475688</v>
      </c>
      <c r="E110" s="22">
        <f>$B$16*(1+$B$6)^(E108-1)</f>
        <v>35774.264212505208</v>
      </c>
      <c r="F110" s="23">
        <f>$B$16*(1+$B$6)^(F108-1)</f>
        <v>36489.749496755307</v>
      </c>
      <c r="G110" s="17"/>
      <c r="H110" s="17"/>
      <c r="I110" s="17"/>
      <c r="J110" s="17"/>
      <c r="K110" s="17"/>
      <c r="N110" s="3830"/>
      <c r="O110" s="3832"/>
      <c r="Z110" s="2807" t="s">
        <v>6775</v>
      </c>
      <c r="AA110" s="1788">
        <v>110</v>
      </c>
    </row>
    <row r="111" spans="1:27" ht="13.35" customHeight="1">
      <c r="A111" s="21" t="s">
        <v>2295</v>
      </c>
      <c r="B111" s="22">
        <f>-(B109+B110)*$B$9</f>
        <v>-120347.87076486758</v>
      </c>
      <c r="C111" s="22">
        <f>-(C109+C110)*$B$9</f>
        <v>-122754.8281801649</v>
      </c>
      <c r="D111" s="22">
        <f>-(D109+D110)*$B$9</f>
        <v>-125209.92474376824</v>
      </c>
      <c r="E111" s="22">
        <f>-(E109+E110)*$B$9</f>
        <v>-127714.1232386436</v>
      </c>
      <c r="F111" s="23">
        <f>-(F109+F110)*$B$9</f>
        <v>-130268.40570341646</v>
      </c>
      <c r="G111" s="17"/>
      <c r="H111" s="17"/>
      <c r="I111" s="17"/>
      <c r="J111" s="17"/>
      <c r="K111" s="17"/>
      <c r="N111" s="3830"/>
      <c r="O111" s="3832"/>
      <c r="Z111" s="2807" t="s">
        <v>6775</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6775</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6775</v>
      </c>
      <c r="AA113" s="1788">
        <v>113</v>
      </c>
    </row>
    <row r="114" spans="1:27" ht="13.35" customHeight="1">
      <c r="A114" s="409" t="s">
        <v>4014</v>
      </c>
      <c r="B114" s="22">
        <f>SUM(B109:B113)</f>
        <v>1598907.4258760975</v>
      </c>
      <c r="C114" s="22">
        <f>SUM(C109:C113)</f>
        <v>1630885.5743936193</v>
      </c>
      <c r="D114" s="22">
        <f>SUM(D109:D113)</f>
        <v>1663503.2858814921</v>
      </c>
      <c r="E114" s="22">
        <f>SUM(E109:E113)</f>
        <v>1696773.3515991219</v>
      </c>
      <c r="F114" s="23">
        <f>SUM(F109:F113)</f>
        <v>1730708.8186311042</v>
      </c>
      <c r="G114" s="17"/>
      <c r="H114" s="17"/>
      <c r="I114" s="17"/>
      <c r="J114" s="17"/>
      <c r="K114" s="17"/>
      <c r="N114" s="3830"/>
      <c r="O114" s="3832"/>
      <c r="Z114" s="2807" t="s">
        <v>6775</v>
      </c>
      <c r="AA114" s="1788">
        <v>114</v>
      </c>
    </row>
    <row r="115" spans="1:27" ht="13.35" customHeight="1">
      <c r="A115" s="21" t="s">
        <v>585</v>
      </c>
      <c r="B115" s="22">
        <f>$B$21*(1+$B$7)^(B108-1)</f>
        <v>-973242.4422356193</v>
      </c>
      <c r="C115" s="22">
        <f>$B$21*(1+$B$7)^(C108-1)</f>
        <v>-1002439.7155026881</v>
      </c>
      <c r="D115" s="22">
        <f>$B$21*(1+$B$7)^(D108-1)</f>
        <v>-1032512.9069677684</v>
      </c>
      <c r="E115" s="22">
        <f>$B$21*(1+$B$7)^(E108-1)</f>
        <v>-1063488.2941768016</v>
      </c>
      <c r="F115" s="23">
        <f>$B$21*(1+$B$7)^(F108-1)</f>
        <v>-1095392.9430021055</v>
      </c>
      <c r="G115" s="17"/>
      <c r="H115" s="17"/>
      <c r="I115" s="17"/>
      <c r="J115" s="17"/>
      <c r="K115" s="17"/>
      <c r="N115" s="3830"/>
      <c r="O115" s="3832"/>
      <c r="Z115" s="2807" t="s">
        <v>6775</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-79945</v>
      </c>
      <c r="C116" s="22">
        <f>IF(AND('Part VII-Pro Forma'!$G$9="Yes",'Part VII-Pro Forma'!$G$10="Yes"),"Choose One!",IF('Part VII-Pro Forma'!$G$9="Yes",ROUND((-$K$9*(1+'Part VII-Pro Forma'!$B$7)^('Part VII-Pro Forma'!C108-1)),),IF('Part VII-Pro Forma'!$G$10="Yes",ROUND((-(SUM(C109:C112)*'Part VII-Pro Forma'!$K$10)),),"Choose mgt fee")))</f>
        <v>-81544</v>
      </c>
      <c r="D116" s="22">
        <f>IF(AND('Part VII-Pro Forma'!$G$9="Yes",'Part VII-Pro Forma'!$G$10="Yes"),"Choose One!",IF('Part VII-Pro Forma'!$G$9="Yes",ROUND((-$K$9*(1+'Part VII-Pro Forma'!$B$7)^('Part VII-Pro Forma'!D108-1)),),IF('Part VII-Pro Forma'!$G$10="Yes",ROUND((-(SUM(D109:D112)*'Part VII-Pro Forma'!$K$10)),),"Choose mgt fee")))</f>
        <v>-83175</v>
      </c>
      <c r="E116" s="22">
        <f>IF(AND('Part VII-Pro Forma'!$G$9="Yes",'Part VII-Pro Forma'!$G$10="Yes"),"Choose One!",IF('Part VII-Pro Forma'!$G$9="Yes",ROUND((-$K$9*(1+'Part VII-Pro Forma'!$B$7)^('Part VII-Pro Forma'!E108-1)),),IF('Part VII-Pro Forma'!$G$10="Yes",ROUND((-(SUM(E109:E112)*'Part VII-Pro Forma'!$K$10)),),"Choose mgt fee")))</f>
        <v>-84839</v>
      </c>
      <c r="F116" s="23">
        <f>IF(AND('Part VII-Pro Forma'!$G$9="Yes",'Part VII-Pro Forma'!$G$10="Yes"),"Choose One!",IF('Part VII-Pro Forma'!$G$9="Yes",ROUND((-$K$9*(1+'Part VII-Pro Forma'!$B$7)^('Part VII-Pro Forma'!F108-1)),),IF('Part VII-Pro Forma'!$G$10="Yes",ROUND((-(SUM(F109:F112)*'Part VII-Pro Forma'!$K$10)),),"Choose mgt fee")))</f>
        <v>-86535</v>
      </c>
      <c r="G116" s="17"/>
      <c r="H116" s="17"/>
      <c r="I116" s="17"/>
      <c r="J116" s="17"/>
      <c r="K116" s="17"/>
      <c r="N116" s="3830"/>
      <c r="O116" s="3832"/>
      <c r="Z116" s="2807" t="s">
        <v>6775</v>
      </c>
      <c r="AA116" s="1788">
        <v>116</v>
      </c>
    </row>
    <row r="117" spans="1:27" ht="13.35" customHeight="1">
      <c r="A117" s="21" t="s">
        <v>1156</v>
      </c>
      <c r="B117" s="22">
        <f>$B$23*(1+$B$8)^(B108-1)</f>
        <v>-90731.07117306946</v>
      </c>
      <c r="C117" s="22">
        <f>$B$23*(1+$B$8)^(C108-1)</f>
        <v>-93453.003308261556</v>
      </c>
      <c r="D117" s="22">
        <f>$B$23*(1+$B$8)^(D108-1)</f>
        <v>-96256.593407509383</v>
      </c>
      <c r="E117" s="22">
        <f>$B$23*(1+$B$8)^(E108-1)</f>
        <v>-99144.291209734671</v>
      </c>
      <c r="F117" s="23">
        <f>$B$23*(1+$B$8)^(F108-1)</f>
        <v>-102118.61994602669</v>
      </c>
      <c r="G117" s="17"/>
      <c r="H117" s="17"/>
      <c r="I117" s="17"/>
      <c r="J117" s="17"/>
      <c r="K117" s="17"/>
      <c r="N117" s="3830"/>
      <c r="O117" s="3832"/>
      <c r="Q117" s="847">
        <v>10</v>
      </c>
      <c r="R117" s="945">
        <f>-SUM(B123:K123)</f>
        <v>0</v>
      </c>
      <c r="S117" s="945">
        <f>SUM(B124:K124)+R117</f>
        <v>0</v>
      </c>
      <c r="Z117" s="2807" t="s">
        <v>6775</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6775</v>
      </c>
      <c r="AA118" s="1787">
        <v>118</v>
      </c>
    </row>
    <row r="119" spans="1:27" ht="13.35" customHeight="1">
      <c r="A119" s="21" t="s">
        <v>1157</v>
      </c>
      <c r="B119" s="22">
        <f>SUM(B114:B118)</f>
        <v>454988.91246740875</v>
      </c>
      <c r="C119" s="22">
        <f>SUM(C114:C118)</f>
        <v>453448.85558266967</v>
      </c>
      <c r="D119" s="22">
        <f>SUM(D114:D118)</f>
        <v>451558.78550621425</v>
      </c>
      <c r="E119" s="22">
        <f>SUM(E114:E118)</f>
        <v>449301.76621258567</v>
      </c>
      <c r="F119" s="1299">
        <f>SUM(F114:F118)</f>
        <v>446662.25568297203</v>
      </c>
      <c r="G119" s="17"/>
      <c r="H119" s="17"/>
      <c r="I119" s="17"/>
      <c r="J119" s="17"/>
      <c r="K119" s="17"/>
      <c r="N119" s="3830"/>
      <c r="O119" s="3832"/>
      <c r="Z119" s="2807" t="s">
        <v>6775</v>
      </c>
      <c r="AA119" s="1788">
        <v>119</v>
      </c>
    </row>
    <row r="120" spans="1:27" ht="13.35" customHeight="1">
      <c r="A120" s="21" t="str">
        <f>$A90</f>
        <v>Mortgage A</v>
      </c>
      <c r="B120" s="2944">
        <f>IF('Part III-Sources of Funds'!$P$40="", 0,-'Part III-Sources of Funds'!$P$40)</f>
        <v>-329683.67677046813</v>
      </c>
      <c r="C120" s="2944">
        <f>IF('Part III-Sources of Funds'!$P$40="", 0,-'Part III-Sources of Funds'!$P$40)</f>
        <v>-329683.67677046813</v>
      </c>
      <c r="D120" s="2944">
        <f>IF('Part III-Sources of Funds'!$P$40="", 0,-'Part III-Sources of Funds'!$P$40)</f>
        <v>-329683.67677046813</v>
      </c>
      <c r="E120" s="2944">
        <f>IF('Part III-Sources of Funds'!$P$40="", 0,-'Part III-Sources of Funds'!$P$40)</f>
        <v>-329683.67677046813</v>
      </c>
      <c r="F120" s="2944">
        <f>IF('Part III-Sources of Funds'!$P$40="", 0,-'Part III-Sources of Funds'!$P$40)</f>
        <v>-329683.67677046813</v>
      </c>
      <c r="G120" s="17"/>
      <c r="H120" s="17"/>
      <c r="I120" s="17"/>
      <c r="J120" s="17"/>
      <c r="K120" s="17"/>
      <c r="N120" s="3830"/>
      <c r="O120" s="3832"/>
      <c r="Z120" s="2807" t="s">
        <v>6775</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6775</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6775</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6775</v>
      </c>
      <c r="AA123" s="1787">
        <v>123</v>
      </c>
    </row>
    <row r="124" spans="1:27" ht="13.35" customHeight="1">
      <c r="A124" s="21" t="s">
        <v>733</v>
      </c>
      <c r="B124" s="2946"/>
      <c r="C124" s="2946"/>
      <c r="D124" s="2946"/>
      <c r="E124" s="2946"/>
      <c r="F124" s="2946"/>
      <c r="G124" s="17"/>
      <c r="H124" s="17"/>
      <c r="I124" s="17"/>
      <c r="J124" s="17"/>
      <c r="K124" s="17"/>
      <c r="N124" s="3830"/>
      <c r="O124" s="3832"/>
      <c r="Z124" s="2807" t="s">
        <v>6775</v>
      </c>
      <c r="AA124" s="1788">
        <v>124</v>
      </c>
    </row>
    <row r="125" spans="1:27" ht="13.35" customHeight="1">
      <c r="A125" s="21" t="s">
        <v>1121</v>
      </c>
      <c r="B125" s="2948">
        <f>+K95</f>
        <v>-3000</v>
      </c>
      <c r="C125" s="2948">
        <f>+B125</f>
        <v>-3000</v>
      </c>
      <c r="D125" s="2948">
        <f>+C125</f>
        <v>-3000</v>
      </c>
      <c r="E125" s="2948">
        <f>+D125</f>
        <v>-3000</v>
      </c>
      <c r="F125" s="2948">
        <f>+E125</f>
        <v>-3000</v>
      </c>
      <c r="G125" s="17"/>
      <c r="H125" s="17"/>
      <c r="I125" s="17"/>
      <c r="J125" s="17"/>
      <c r="K125" s="17"/>
      <c r="N125" s="3830"/>
      <c r="O125" s="3832"/>
      <c r="Z125" s="2807" t="s">
        <v>6775</v>
      </c>
      <c r="AA125" s="1788">
        <v>125</v>
      </c>
    </row>
    <row r="126" spans="1:27" ht="13.35" customHeight="1">
      <c r="A126" s="21" t="s">
        <v>1122</v>
      </c>
      <c r="B126" s="22">
        <f>SUM(B119:B125)</f>
        <v>122305.23569694062</v>
      </c>
      <c r="C126" s="22">
        <f>SUM(C119:C125)</f>
        <v>120765.17881220154</v>
      </c>
      <c r="D126" s="22">
        <f>SUM(D119:D125)</f>
        <v>118875.10873574612</v>
      </c>
      <c r="E126" s="22">
        <f>SUM(E119:E125)</f>
        <v>116618.08944211755</v>
      </c>
      <c r="F126" s="23">
        <f>SUM(F119:F125)</f>
        <v>113978.5789125039</v>
      </c>
      <c r="G126" s="17"/>
      <c r="H126" s="17"/>
      <c r="I126" s="17"/>
      <c r="J126" s="17"/>
      <c r="K126" s="17"/>
      <c r="N126" s="3830"/>
      <c r="O126" s="3832"/>
      <c r="Z126" s="2807" t="s">
        <v>6775</v>
      </c>
      <c r="AA126" s="1788">
        <v>126</v>
      </c>
    </row>
    <row r="127" spans="1:27" ht="13.35" customHeight="1">
      <c r="A127" s="21" t="str">
        <f>$A97</f>
        <v>DCR Mortgage A</v>
      </c>
      <c r="B127" s="24">
        <f>IF(B120=0,"",-B119/B120)</f>
        <v>1.380077160399362</v>
      </c>
      <c r="C127" s="24">
        <f>IF(C120=0,"",-C119/C120)</f>
        <v>1.3754058436395356</v>
      </c>
      <c r="D127" s="24">
        <f>IF(D120=0,"",-D119/D120)</f>
        <v>1.3696728631809025</v>
      </c>
      <c r="E127" s="24">
        <f>IF(E120=0,"",-E119/E120)</f>
        <v>1.362826848492708</v>
      </c>
      <c r="F127" s="25">
        <f>IF(F120=0,"",-F119/F120)</f>
        <v>1.354820657359832</v>
      </c>
      <c r="G127" s="17"/>
      <c r="H127" s="17"/>
      <c r="I127" s="17"/>
      <c r="J127" s="17"/>
      <c r="K127" s="17"/>
      <c r="N127" s="3830"/>
      <c r="O127" s="3832"/>
      <c r="Z127" s="2807" t="s">
        <v>6775</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6775</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6775</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6775</v>
      </c>
      <c r="AA130" s="1788">
        <v>130</v>
      </c>
    </row>
    <row r="131" spans="1:27" ht="13.35" customHeight="1">
      <c r="A131" s="409" t="s">
        <v>3344</v>
      </c>
      <c r="B131" s="24">
        <f>IF(AND(B120=0,B121=0,B122=0,B123=0),"",-B119/(B120+B121+B122+B123))</f>
        <v>1.380077160399362</v>
      </c>
      <c r="C131" s="24">
        <f>IF(AND(C120=0,C121=0,C122=0,C123=0),"",-C119/(C120+C121+C122+C123))</f>
        <v>1.3754058436395356</v>
      </c>
      <c r="D131" s="24">
        <f>IF(AND(D120=0,D121=0,D122=0,D123=0),"",-D119/(D120+D121+D122+D123))</f>
        <v>1.3696728631809025</v>
      </c>
      <c r="E131" s="24">
        <f>IF(AND(E120=0,E121=0,E122=0,E123=0),"",-E119/(E120+E121+E122+E123))</f>
        <v>1.362826848492708</v>
      </c>
      <c r="F131" s="25">
        <f>IF(AND(F120=0,F121=0,F122=0,F123=0),"",-F119/(F120+F121+F122+F123))</f>
        <v>1.354820657359832</v>
      </c>
      <c r="G131" s="17"/>
      <c r="H131" s="17"/>
      <c r="I131" s="17"/>
      <c r="J131" s="17"/>
      <c r="K131" s="17"/>
      <c r="N131" s="3830"/>
      <c r="O131" s="3832"/>
      <c r="Z131" s="2807" t="s">
        <v>6775</v>
      </c>
      <c r="AA131" s="1788">
        <v>131</v>
      </c>
    </row>
    <row r="132" spans="1:27" ht="13.35" customHeight="1">
      <c r="A132" s="21" t="s">
        <v>740</v>
      </c>
      <c r="B132" s="263">
        <f>IF(OR(B116="Choose mgt fee",B116="Choose One!"),"",(B109+B110+B111+B112+B113) / -(B115+B116+B117))</f>
        <v>1.3977459120856577</v>
      </c>
      <c r="C132" s="263">
        <f>IF(OR(C116="Choose mgt fee",C116="Choose One!"),"",(C109+C110+C111+C112+C113) / -(C115+C116+C117))</f>
        <v>1.3851152663563873</v>
      </c>
      <c r="D132" s="263">
        <f>IF(OR(D116="Choose mgt fee",D116="Choose One!"),"",(D109+D110+D111+D112+D113) / -(D115+D116+D117))</f>
        <v>1.3725903169381017</v>
      </c>
      <c r="E132" s="263">
        <f>IF(OR(E116="Choose mgt fee",E116="Choose One!"),"",(E109+E110+E111+E112+E113) / -(E115+E116+E117))</f>
        <v>1.3601699401220164</v>
      </c>
      <c r="F132" s="567">
        <f>IF(OR(F116="Choose mgt fee",F116="Choose One!"),"",(F109+F110+F111+F112+F113) / -(F115+F116+F117))</f>
        <v>1.3478551857632397</v>
      </c>
      <c r="G132" s="17"/>
      <c r="H132" s="17"/>
      <c r="I132" s="17"/>
      <c r="J132" s="17"/>
      <c r="K132" s="17"/>
      <c r="N132" s="3830"/>
      <c r="O132" s="3832"/>
      <c r="Z132" s="2807" t="s">
        <v>6775</v>
      </c>
      <c r="AA132" s="1787">
        <v>132</v>
      </c>
    </row>
    <row r="133" spans="1:27" ht="13.35" customHeight="1">
      <c r="A133" s="409" t="s">
        <v>2493</v>
      </c>
      <c r="B133" s="2949">
        <f>IF('Part III-Sources of Funds'!$I$40="","",-FV('Part III-Sources of Funds'!$K$40/12,12,B120/12,K103))</f>
        <v>1210767.2992534649</v>
      </c>
      <c r="C133" s="2949">
        <f>IF('Part III-Sources of Funds'!$I$40="","",-FV('Part III-Sources of Funds'!$K$40/12,12,C120/12,B133))</f>
        <v>927057.12649629638</v>
      </c>
      <c r="D133" s="2949">
        <f>IF('Part III-Sources of Funds'!$I$40="","",-FV('Part III-Sources of Funds'!$K$40/12,12,D120/12,C133))</f>
        <v>631051.60275802528</v>
      </c>
      <c r="E133" s="2949">
        <f>IF('Part III-Sources of Funds'!$I$40="","",-FV('Part III-Sources of Funds'!$K$40/12,12,E120/12,D133))</f>
        <v>322217.87560590549</v>
      </c>
      <c r="F133" s="2949">
        <f>IF('Part III-Sources of Funds'!$I$40="","",-FV('Part III-Sources of Funds'!$K$40/12,12,F120/12,E133))</f>
        <v>-3.7444988265633583E-7</v>
      </c>
      <c r="G133" s="17"/>
      <c r="H133" s="17"/>
      <c r="I133" s="17"/>
      <c r="J133" s="17"/>
      <c r="K133" s="17"/>
      <c r="N133" s="3830"/>
      <c r="O133" s="3832"/>
      <c r="Z133" s="2807" t="s">
        <v>6775</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6775</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6775</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6775</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3208</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nVW/psLGowYqsNycXsEiYKxYCo826AqwhDYzwds2/3wKj6EpEoGuNHrXg8eisa7zEQY08sKQ1dqp6rZWd4x6Gg==" saltValue="QfjNQBQ5UJ+uppugzh0zv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I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249" zoomScale="110" zoomScaleNormal="110" workbookViewId="0">
      <selection activeCell="A249"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2021-006 Wagon Works, East Point, Fulton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3417</v>
      </c>
      <c r="K6" s="4091"/>
      <c r="L6" s="4091"/>
      <c r="M6" s="4091"/>
      <c r="N6" s="4091"/>
      <c r="O6" s="4092"/>
      <c r="P6" s="4089"/>
      <c r="Q6" s="4090"/>
      <c r="R6" s="4061"/>
      <c r="S6" s="4061"/>
    </row>
    <row r="7" spans="1:32" ht="12.6" customHeight="1">
      <c r="A7" s="125" t="s">
        <v>3187</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67"/>
      <c r="J29" s="2667"/>
      <c r="K29" s="2667"/>
      <c r="L29" s="1401"/>
      <c r="M29" s="1401"/>
      <c r="O29" s="130" t="s">
        <v>1781</v>
      </c>
      <c r="P29" s="3961"/>
      <c r="Q29" s="3962"/>
    </row>
    <row r="30" spans="1:31" ht="3" customHeight="1"/>
    <row r="31" spans="1:31" ht="11.25" customHeight="1">
      <c r="B31" s="66" t="s">
        <v>3372</v>
      </c>
      <c r="C31" s="66"/>
      <c r="D31" s="66"/>
      <c r="E31" s="66"/>
      <c r="F31" s="66"/>
      <c r="G31" s="2667"/>
      <c r="H31" s="2667"/>
      <c r="I31" s="2667"/>
      <c r="J31" s="2667"/>
      <c r="K31" s="1401"/>
      <c r="L31" s="1401"/>
      <c r="M31" s="1401"/>
      <c r="N31" s="1401"/>
      <c r="O31" s="1401"/>
      <c r="P31" s="782"/>
      <c r="S31" s="156"/>
      <c r="T31" s="156"/>
    </row>
    <row r="32" spans="1:31" ht="108.75" customHeight="1">
      <c r="A32" s="3958" t="s">
        <v>6989</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1"/>
      <c r="Q36" s="3962"/>
    </row>
    <row r="37" spans="1:295" ht="11.25" customHeight="1">
      <c r="A37" s="4083"/>
      <c r="B37" s="4083"/>
      <c r="C37" s="4083"/>
      <c r="D37" s="4083"/>
      <c r="E37" s="4083"/>
      <c r="F37" s="1324"/>
      <c r="G37" s="4071" t="s">
        <v>2562</v>
      </c>
      <c r="H37" s="4072"/>
      <c r="I37" s="559"/>
      <c r="J37" s="42"/>
      <c r="K37" s="4073" t="s">
        <v>3286</v>
      </c>
      <c r="L37" s="4074"/>
      <c r="M37" s="4074"/>
      <c r="N37" s="4075"/>
    </row>
    <row r="38" spans="1:295" ht="11.25" customHeight="1">
      <c r="A38" s="4083"/>
      <c r="B38" s="4083"/>
      <c r="C38" s="4083"/>
      <c r="D38" s="4083"/>
      <c r="E38" s="4083"/>
      <c r="F38" s="1324"/>
      <c r="G38" s="4076" t="s">
        <v>335</v>
      </c>
      <c r="H38" s="4077"/>
      <c r="I38" s="559"/>
      <c r="J38" s="42"/>
      <c r="K38" s="4104" t="s">
        <v>3287</v>
      </c>
      <c r="L38" s="4105"/>
      <c r="M38" s="4105"/>
      <c r="N38" s="4106"/>
      <c r="P38" s="488" t="s">
        <v>2573</v>
      </c>
      <c r="Q38" s="2489"/>
    </row>
    <row r="39" spans="1:295" ht="4.5" customHeight="1">
      <c r="A39" s="1324"/>
      <c r="B39" s="1324"/>
      <c r="C39" s="1324"/>
      <c r="D39" s="1324"/>
      <c r="E39" s="1324"/>
      <c r="F39" s="1324"/>
      <c r="G39" s="211"/>
      <c r="H39" s="211"/>
      <c r="I39" s="211"/>
      <c r="J39" s="42"/>
      <c r="K39" s="4107"/>
      <c r="L39" s="4107"/>
      <c r="M39" s="4107"/>
      <c r="N39" s="4107"/>
      <c r="P39" s="4080" t="s">
        <v>4133</v>
      </c>
      <c r="Q39" s="4080"/>
    </row>
    <row r="40" spans="1:295" s="82" customFormat="1" ht="10.5" customHeight="1">
      <c r="D40" s="560" t="s">
        <v>2561</v>
      </c>
      <c r="E40" s="35"/>
      <c r="F40" s="561" t="s">
        <v>3188</v>
      </c>
      <c r="G40" s="4108" t="s">
        <v>4077</v>
      </c>
      <c r="H40" s="4108"/>
      <c r="I40" s="4108"/>
      <c r="J40" s="35"/>
      <c r="K40" s="561" t="s">
        <v>3188</v>
      </c>
      <c r="L40" s="4108" t="s">
        <v>4076</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3118</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3"/>
      <c r="P42" s="4116" t="str">
        <f>IF('Part I-Project Information'!$F$39="","",VLOOKUP('Part I-Project Information'!$J$40,'DCA Underwriting Assumptions'!$G$174:$N$333,8,FALSE))</f>
        <v>Atlanta</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3"/>
      <c r="P44" s="4062" t="s">
        <v>4134</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3"/>
      <c r="P45" s="4078">
        <f>'Part IV-A-Uses of Funds'!$G$146</f>
        <v>23347532</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2" t="s">
        <v>4120</v>
      </c>
      <c r="Q46" s="4062"/>
      <c r="R46" s="4082" t="s">
        <v>6610</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3113</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22340085</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0" t="s">
        <v>3512</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1"/>
      <c r="Q50" s="4122"/>
      <c r="R50" s="396"/>
      <c r="S50" s="4136" t="s">
        <v>4123</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09" t="s">
        <v>3282</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2</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09" t="s">
        <v>3283</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3009</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5</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0" t="s">
        <v>2597</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3" t="str">
        <f>IF(F63="","",F63*G63)</f>
        <v/>
      </c>
      <c r="J63" s="42"/>
      <c r="K63" s="1322">
        <f>IF('Part VI-Revenues &amp; Expenses'!$L$154 =0,"",'Part VI-Revenues &amp; Expenses'!$L$154)</f>
        <v>14</v>
      </c>
      <c r="L63" s="756">
        <f>G63*(1+'DCA Underwriting Assumptions'!$Q$12)</f>
        <v>214886.815</v>
      </c>
      <c r="M63" s="40" t="str">
        <f>CONCATENATE("x ", K63," units = ")</f>
        <v xml:space="preserve">x 14 units = </v>
      </c>
      <c r="N63" s="1323">
        <f>IF(K63="","",K63*L63)</f>
        <v>3008415.41</v>
      </c>
      <c r="O63" s="514"/>
      <c r="P63" s="4112">
        <f>IF(P50&gt;1,P50, IF(OR('Part IX Scoring Criteria'!$O$108='Part IX Scoring Criteria'!$M$108,AND('Part IV-A-Uses of Funds'!$T$185="Yes",'Part IX Scoring Criteria'!$O$330&gt;0)),H69+M69,H69))</f>
        <v>24186153.200000003</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f>IF('Part VI-Revenues &amp; Expenses'!$M$154 =0,"",'Part VI-Revenues &amp; Expenses'!$M$154)</f>
        <v>69</v>
      </c>
      <c r="L64" s="756">
        <f>G64*(1+'DCA Underwriting Assumptions'!$Q$12)</f>
        <v>276283.59000000003</v>
      </c>
      <c r="M64" s="40" t="str">
        <f>CONCATENATE("x ", K64," units = ")</f>
        <v xml:space="preserve">x 69 units = </v>
      </c>
      <c r="N64" s="1323">
        <f>IF(K64="","",K64*L64)</f>
        <v>19063567.710000001</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f>IF('Part VI-Revenues &amp; Expenses'!$N$154 =0,"",'Part VI-Revenues &amp; Expenses'!$N$154)</f>
        <v>6</v>
      </c>
      <c r="L65" s="756">
        <f>G65*(1+'DCA Underwriting Assumptions'!$Q$12)</f>
        <v>352361.68000000005</v>
      </c>
      <c r="M65" s="40" t="str">
        <f>CONCATENATE("x ", K65," units = ")</f>
        <v xml:space="preserve">x 6 units = </v>
      </c>
      <c r="N65" s="1323">
        <f>IF(K65="","",K65*L65)</f>
        <v>2114170.08</v>
      </c>
      <c r="P65" s="4149" t="s">
        <v>3601</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89</v>
      </c>
      <c r="L67" s="949"/>
      <c r="M67" s="947"/>
      <c r="N67" s="950">
        <f>SUM(N62:N66)</f>
        <v>24186153.200000003</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0</v>
      </c>
      <c r="G69" s="324"/>
      <c r="H69" s="4055">
        <f>I46+I53+I60+I67</f>
        <v>0</v>
      </c>
      <c r="I69" s="4055"/>
      <c r="J69" s="4055"/>
      <c r="K69" s="553">
        <f>K46+K53+K60+K67</f>
        <v>89</v>
      </c>
      <c r="L69" s="554"/>
      <c r="M69" s="4055">
        <f>N46+N53+N60+N67</f>
        <v>24186153.200000003</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7"/>
      <c r="J70" s="2667"/>
      <c r="K70" s="135" t="s">
        <v>1780</v>
      </c>
      <c r="L70" s="1401"/>
      <c r="M70" s="1401"/>
      <c r="N70" s="1401"/>
      <c r="O70" s="1401"/>
      <c r="P70" s="4151"/>
      <c r="Q70" s="4151"/>
    </row>
    <row r="71" spans="1:295" ht="36.950000000000003" customHeight="1">
      <c r="A71" s="3958" t="s">
        <v>6990</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1"/>
      <c r="Q73" s="3962"/>
    </row>
    <row r="74" spans="1:295" ht="12.75" customHeight="1">
      <c r="A74" s="2647"/>
      <c r="B74" s="138" t="s">
        <v>6432</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6433</v>
      </c>
      <c r="C75" s="4"/>
      <c r="D75" s="4"/>
      <c r="E75" s="2653"/>
      <c r="F75" s="2653"/>
      <c r="G75" s="956" t="str">
        <f>'Part I-Project Information'!$H$82</f>
        <v>Other Non-Senior</v>
      </c>
      <c r="H75" s="2653"/>
      <c r="J75" s="1663">
        <f>IF(OR(G75="Other Senior/Elderly",G75= "Other Non-Senior"),'Part I-Project Information'!$M$77,"")</f>
        <v>0</v>
      </c>
      <c r="K75" s="956"/>
      <c r="O75" s="130"/>
      <c r="P75" s="130"/>
      <c r="Q75" s="130"/>
    </row>
    <row r="76" spans="1:295" ht="10.5" customHeight="1">
      <c r="B76" s="94" t="s">
        <v>3372</v>
      </c>
      <c r="D76" s="94"/>
      <c r="E76" s="94"/>
      <c r="F76" s="94"/>
      <c r="G76" s="94"/>
      <c r="H76" s="40"/>
      <c r="I76" s="2667"/>
      <c r="J76" s="2667"/>
      <c r="K76" s="135" t="s">
        <v>1780</v>
      </c>
      <c r="L76" s="1401"/>
      <c r="M76" s="1401"/>
      <c r="N76" s="1401"/>
      <c r="O76" s="1401"/>
      <c r="P76" s="1401"/>
      <c r="Q76" s="782"/>
    </row>
    <row r="77" spans="1:295" ht="41.25" customHeight="1">
      <c r="A77" s="3958" t="s">
        <v>6991</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3949</v>
      </c>
      <c r="M79" s="1400" t="s">
        <v>3950</v>
      </c>
      <c r="O79" s="130" t="s">
        <v>1781</v>
      </c>
      <c r="P79" s="3961"/>
      <c r="Q79" s="3962"/>
    </row>
    <row r="80" spans="1:295" ht="1.5" customHeight="1"/>
    <row r="81" spans="1:31" ht="12" customHeight="1">
      <c r="A81" s="140" t="s">
        <v>1893</v>
      </c>
      <c r="B81" s="3950" t="s">
        <v>3943</v>
      </c>
      <c r="C81" s="3950"/>
      <c r="D81" s="3950"/>
      <c r="E81" s="3950"/>
      <c r="F81" s="3950"/>
      <c r="G81" s="3950"/>
      <c r="H81" s="3950"/>
      <c r="I81" s="3950"/>
      <c r="J81" s="3950"/>
      <c r="K81" s="146"/>
      <c r="L81" s="420" t="s">
        <v>2698</v>
      </c>
      <c r="M81" s="1289">
        <v>2</v>
      </c>
      <c r="N81" s="382" t="s">
        <v>4224</v>
      </c>
      <c r="P81" s="4099" t="s">
        <v>6924</v>
      </c>
      <c r="Q81" s="3956"/>
    </row>
    <row r="82" spans="1:31" ht="12" customHeight="1">
      <c r="A82" s="140"/>
      <c r="B82" s="3950"/>
      <c r="C82" s="3950"/>
      <c r="D82" s="3950"/>
      <c r="E82" s="3950"/>
      <c r="F82" s="3950"/>
      <c r="G82" s="3950"/>
      <c r="H82" s="3950"/>
      <c r="I82" s="3950"/>
      <c r="J82" s="3950"/>
      <c r="K82" s="146"/>
      <c r="L82" s="420" t="s">
        <v>3948</v>
      </c>
      <c r="M82" s="1290">
        <v>4</v>
      </c>
      <c r="O82" s="141"/>
      <c r="P82" s="4100"/>
      <c r="Q82" s="3957"/>
    </row>
    <row r="83" spans="1:31" ht="12" customHeight="1">
      <c r="A83" s="140"/>
      <c r="D83" s="2661"/>
      <c r="E83" s="2661"/>
      <c r="F83" s="2661"/>
      <c r="G83" s="2661"/>
      <c r="H83" s="2661"/>
      <c r="I83" s="2661"/>
      <c r="J83" s="2661"/>
      <c r="K83" s="146"/>
      <c r="L83" s="451" t="s">
        <v>6410</v>
      </c>
      <c r="M83" s="1290"/>
      <c r="O83" s="141"/>
      <c r="P83" s="2491">
        <v>2</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4225</v>
      </c>
      <c r="O85" s="817"/>
      <c r="P85" s="2492" t="s">
        <v>6925</v>
      </c>
      <c r="Q85" s="2952"/>
    </row>
    <row r="86" spans="1:31" ht="12.75" customHeight="1">
      <c r="A86" s="1254"/>
      <c r="B86" s="1305" t="s">
        <v>1659</v>
      </c>
      <c r="C86" s="382" t="s">
        <v>3952</v>
      </c>
      <c r="D86" s="1256"/>
      <c r="E86" s="1256"/>
      <c r="F86" s="1256"/>
      <c r="G86" s="1256"/>
      <c r="H86" s="1256"/>
      <c r="I86" s="1256"/>
      <c r="J86" s="1256"/>
      <c r="K86" s="1255"/>
      <c r="L86" s="816"/>
      <c r="N86" s="382" t="s">
        <v>4226</v>
      </c>
      <c r="O86" s="817"/>
      <c r="P86" s="2669" t="s">
        <v>6924</v>
      </c>
      <c r="Q86" s="2953"/>
    </row>
    <row r="87" spans="1:31" ht="12.75" customHeight="1">
      <c r="A87" s="1253"/>
      <c r="B87" s="451" t="s">
        <v>1660</v>
      </c>
      <c r="C87" s="382" t="s">
        <v>3953</v>
      </c>
      <c r="E87" s="1256"/>
      <c r="F87" s="1256"/>
      <c r="G87" s="1256"/>
      <c r="H87" s="1256"/>
      <c r="I87" s="1256"/>
      <c r="J87" s="1256"/>
      <c r="K87" s="1255"/>
      <c r="L87" s="816"/>
      <c r="M87" s="817"/>
      <c r="N87" s="382" t="s">
        <v>4227</v>
      </c>
      <c r="O87" s="817"/>
      <c r="P87" s="2669" t="s">
        <v>6924</v>
      </c>
      <c r="Q87" s="2953"/>
    </row>
    <row r="88" spans="1:31" ht="12.75" customHeight="1">
      <c r="A88" s="142"/>
      <c r="B88" s="451" t="s">
        <v>2260</v>
      </c>
      <c r="C88" s="451" t="s">
        <v>3956</v>
      </c>
      <c r="D88" s="132"/>
      <c r="E88" s="132"/>
      <c r="F88" s="132"/>
      <c r="G88" s="132"/>
      <c r="H88" s="132"/>
      <c r="I88" s="42"/>
      <c r="J88" s="42"/>
      <c r="N88" s="382" t="s">
        <v>4228</v>
      </c>
      <c r="O88" s="817"/>
      <c r="P88" s="2668" t="s">
        <v>6926</v>
      </c>
      <c r="Q88" s="2954"/>
    </row>
    <row r="89" spans="1:31" ht="12.75" customHeight="1">
      <c r="A89" s="142"/>
      <c r="B89" s="451"/>
      <c r="C89" s="382" t="s">
        <v>3957</v>
      </c>
      <c r="D89" s="132"/>
      <c r="E89" s="132"/>
      <c r="F89" s="132"/>
      <c r="G89" s="132"/>
      <c r="H89" s="132"/>
      <c r="I89" s="42"/>
      <c r="J89" s="42"/>
      <c r="L89" s="4015" t="s">
        <v>931</v>
      </c>
      <c r="M89" s="4016"/>
      <c r="N89" s="4016"/>
      <c r="O89" s="4016"/>
      <c r="P89" s="4016"/>
      <c r="Q89" s="4017"/>
    </row>
    <row r="90" spans="1:31" ht="12.75" customHeight="1">
      <c r="A90" s="142"/>
      <c r="B90" s="451" t="s">
        <v>1487</v>
      </c>
      <c r="C90" s="3950" t="s">
        <v>3954</v>
      </c>
      <c r="D90" s="3950"/>
      <c r="E90" s="3950"/>
      <c r="F90" s="3950"/>
      <c r="G90" s="3950"/>
      <c r="H90" s="3950"/>
      <c r="I90" s="3950"/>
      <c r="J90" s="3950"/>
      <c r="K90" s="3950"/>
      <c r="L90" s="3950"/>
      <c r="M90" s="494"/>
      <c r="N90" s="382" t="s">
        <v>4229</v>
      </c>
      <c r="O90" s="817"/>
      <c r="P90" s="2493"/>
      <c r="Q90" s="2955"/>
    </row>
    <row r="91" spans="1:31" ht="12.75" customHeight="1">
      <c r="A91" s="47"/>
      <c r="C91" s="3950"/>
      <c r="D91" s="3950"/>
      <c r="E91" s="3950"/>
      <c r="F91" s="3950"/>
      <c r="G91" s="3950"/>
      <c r="H91" s="3950"/>
      <c r="I91" s="3950"/>
      <c r="J91" s="3950"/>
      <c r="K91" s="3950"/>
      <c r="L91" s="3950"/>
      <c r="M91" s="494"/>
    </row>
    <row r="92" spans="1:31" ht="10.5" customHeight="1">
      <c r="B92" s="94" t="s">
        <v>3372</v>
      </c>
      <c r="D92" s="94"/>
      <c r="E92" s="94"/>
      <c r="F92" s="94"/>
      <c r="G92" s="94"/>
      <c r="H92" s="40"/>
      <c r="I92" s="2667"/>
      <c r="J92" s="2667"/>
      <c r="K92" s="135" t="s">
        <v>1780</v>
      </c>
      <c r="L92" s="1401"/>
      <c r="M92" s="1401"/>
      <c r="N92" s="1401"/>
      <c r="O92" s="1401"/>
      <c r="P92" s="1401"/>
      <c r="Q92" s="782"/>
    </row>
    <row r="93" spans="1:31" ht="29.25" customHeight="1">
      <c r="A93" s="3958" t="s">
        <v>6992</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4220</v>
      </c>
      <c r="C95" s="2647"/>
      <c r="D95" s="2653"/>
      <c r="E95" s="2653"/>
      <c r="F95" s="2653"/>
      <c r="G95" s="2653"/>
      <c r="H95" s="1409" t="str">
        <f>'Part I-Project Information'!$K$41</f>
        <v>Urban</v>
      </c>
      <c r="J95" s="47" t="s">
        <v>4223</v>
      </c>
      <c r="K95" s="557" t="str">
        <f>'Part I-Project Information'!$H$105</f>
        <v>Atlanta Metro</v>
      </c>
      <c r="L95" s="63" t="s">
        <v>3986</v>
      </c>
      <c r="M95" s="1292"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6927</v>
      </c>
      <c r="N97" s="4029"/>
      <c r="O97" s="4029"/>
      <c r="P97" s="4060"/>
      <c r="Q97" s="2952"/>
    </row>
    <row r="98" spans="1:32" ht="12.75" customHeight="1">
      <c r="A98" s="47" t="s">
        <v>1895</v>
      </c>
      <c r="B98" s="52" t="s">
        <v>4146</v>
      </c>
      <c r="D98" s="132"/>
      <c r="E98" s="132"/>
      <c r="F98" s="132"/>
      <c r="L98" s="439" t="s">
        <v>1895</v>
      </c>
      <c r="M98" s="4096" t="s">
        <v>6953</v>
      </c>
      <c r="N98" s="4097"/>
      <c r="O98" s="4097"/>
      <c r="P98" s="4098"/>
      <c r="Q98" s="2953"/>
    </row>
    <row r="99" spans="1:32" ht="12.75" customHeight="1">
      <c r="A99" s="47" t="s">
        <v>719</v>
      </c>
      <c r="B99" s="52" t="s">
        <v>2671</v>
      </c>
      <c r="D99" s="132"/>
      <c r="E99" s="132"/>
      <c r="F99" s="132"/>
      <c r="L99" s="439" t="s">
        <v>719</v>
      </c>
      <c r="M99" s="4145">
        <v>0.93</v>
      </c>
      <c r="N99" s="4146"/>
      <c r="O99" s="4146"/>
      <c r="P99" s="4147"/>
      <c r="Q99" s="2953"/>
    </row>
    <row r="100" spans="1:32" ht="12.75" customHeight="1">
      <c r="A100" s="47" t="s">
        <v>2021</v>
      </c>
      <c r="B100" s="52" t="s">
        <v>3443</v>
      </c>
      <c r="D100" s="132"/>
      <c r="E100" s="132"/>
      <c r="F100" s="132"/>
      <c r="J100" s="439" t="s">
        <v>3444</v>
      </c>
      <c r="K100" s="2494">
        <v>1.2E-2</v>
      </c>
      <c r="L100" s="2956"/>
      <c r="M100" s="1601"/>
      <c r="N100" s="1600"/>
      <c r="O100" s="955" t="s">
        <v>3540</v>
      </c>
      <c r="P100" s="2495" t="s">
        <v>931</v>
      </c>
      <c r="Q100" s="2957"/>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6954</v>
      </c>
      <c r="E103" s="4031" t="s">
        <v>6955</v>
      </c>
      <c r="F103" s="4031"/>
      <c r="G103" s="4031"/>
      <c r="H103" s="65" t="s">
        <v>1660</v>
      </c>
      <c r="I103" s="2496" t="s">
        <v>6958</v>
      </c>
      <c r="J103" s="4031" t="s">
        <v>6959</v>
      </c>
      <c r="K103" s="4031"/>
      <c r="L103" s="4031"/>
      <c r="M103" s="64" t="s">
        <v>1487</v>
      </c>
      <c r="N103" s="2496" t="s">
        <v>6962</v>
      </c>
      <c r="O103" s="4031" t="s">
        <v>6959</v>
      </c>
      <c r="P103" s="4031"/>
      <c r="Q103" s="4031"/>
    </row>
    <row r="104" spans="1:32" ht="12.75" customHeight="1">
      <c r="C104" s="65" t="s">
        <v>1659</v>
      </c>
      <c r="D104" s="2497" t="s">
        <v>6956</v>
      </c>
      <c r="E104" s="3949" t="s">
        <v>6957</v>
      </c>
      <c r="F104" s="3949"/>
      <c r="G104" s="3949"/>
      <c r="H104" s="439" t="s">
        <v>2260</v>
      </c>
      <c r="I104" s="2497" t="s">
        <v>6960</v>
      </c>
      <c r="J104" s="3949" t="s">
        <v>6961</v>
      </c>
      <c r="K104" s="3949"/>
      <c r="L104" s="3949"/>
      <c r="M104" s="64" t="s">
        <v>1488</v>
      </c>
      <c r="N104" s="2497"/>
      <c r="O104" s="3949"/>
      <c r="P104" s="3949"/>
      <c r="Q104" s="3949"/>
    </row>
    <row r="105" spans="1:32" ht="12.75" customHeight="1">
      <c r="A105" s="47" t="s">
        <v>1657</v>
      </c>
      <c r="B105" s="52" t="s">
        <v>6324</v>
      </c>
      <c r="D105" s="132"/>
      <c r="E105" s="132"/>
      <c r="F105" s="132"/>
      <c r="G105" s="132"/>
      <c r="H105" s="132"/>
      <c r="I105" s="42"/>
      <c r="J105" s="42"/>
      <c r="K105" s="132"/>
      <c r="L105" s="2657"/>
      <c r="M105" s="2657"/>
      <c r="O105" s="439" t="s">
        <v>1657</v>
      </c>
      <c r="P105" s="2666" t="s">
        <v>2769</v>
      </c>
      <c r="Q105" s="2958"/>
    </row>
    <row r="106" spans="1:32" ht="12.75" customHeight="1">
      <c r="A106" s="47" t="s">
        <v>1858</v>
      </c>
      <c r="B106" s="52" t="s">
        <v>6326</v>
      </c>
      <c r="D106" s="132"/>
      <c r="E106" s="132"/>
      <c r="F106" s="132"/>
      <c r="G106" s="132"/>
      <c r="H106" s="132"/>
      <c r="I106" s="42"/>
      <c r="J106" s="42"/>
      <c r="K106" s="132"/>
      <c r="L106" s="2657"/>
      <c r="M106" s="2657"/>
      <c r="O106" s="439" t="s">
        <v>1858</v>
      </c>
      <c r="P106" s="2669" t="s">
        <v>2769</v>
      </c>
      <c r="Q106" s="2953"/>
    </row>
    <row r="107" spans="1:32" ht="10.5" customHeight="1">
      <c r="A107" s="47" t="s">
        <v>3124</v>
      </c>
      <c r="B107" s="52" t="s">
        <v>6328</v>
      </c>
      <c r="D107" s="132"/>
      <c r="E107" s="132"/>
      <c r="F107" s="132"/>
      <c r="G107" s="132"/>
      <c r="H107" s="132"/>
      <c r="I107" s="42"/>
      <c r="J107" s="42"/>
      <c r="K107" s="132"/>
      <c r="L107" s="2657"/>
      <c r="M107" s="2657"/>
      <c r="O107" s="439" t="s">
        <v>3124</v>
      </c>
      <c r="P107" s="2498">
        <v>0.93</v>
      </c>
      <c r="Q107" s="2959"/>
    </row>
    <row r="108" spans="1:32" s="131" customFormat="1" ht="60" customHeight="1">
      <c r="A108" s="140" t="s">
        <v>586</v>
      </c>
      <c r="B108" s="3963" t="s">
        <v>6325</v>
      </c>
      <c r="C108" s="3963"/>
      <c r="D108" s="3963"/>
      <c r="E108" s="3963"/>
      <c r="F108" s="3963"/>
      <c r="G108" s="3963"/>
      <c r="H108" s="3963"/>
      <c r="I108" s="3963"/>
      <c r="J108" s="3963"/>
      <c r="K108" s="3963"/>
      <c r="L108" s="3963"/>
      <c r="M108" s="3963"/>
      <c r="N108" s="3963"/>
      <c r="O108" s="1490" t="s">
        <v>6327</v>
      </c>
      <c r="P108" s="2664" t="s">
        <v>2769</v>
      </c>
      <c r="Q108" s="2960"/>
      <c r="AE108" s="442"/>
      <c r="AF108" s="442"/>
    </row>
    <row r="109" spans="1:32" s="42" customFormat="1" ht="12.75" customHeight="1">
      <c r="A109" s="47"/>
      <c r="B109" s="1305" t="s">
        <v>1659</v>
      </c>
      <c r="C109" s="52" t="s">
        <v>4276</v>
      </c>
      <c r="D109" s="132"/>
      <c r="E109" s="132"/>
      <c r="F109" s="132"/>
      <c r="G109" s="132"/>
      <c r="H109" s="132"/>
      <c r="K109" s="132"/>
      <c r="L109" s="2657"/>
      <c r="M109" s="2657"/>
      <c r="O109" s="439" t="s">
        <v>1659</v>
      </c>
      <c r="P109" s="2668" t="s">
        <v>2772</v>
      </c>
      <c r="Q109" s="2954"/>
      <c r="AE109" s="50"/>
      <c r="AF109" s="50"/>
    </row>
    <row r="110" spans="1:32" ht="9.75" customHeight="1">
      <c r="B110" s="139" t="s">
        <v>3372</v>
      </c>
      <c r="D110" s="139"/>
      <c r="E110" s="139"/>
      <c r="F110" s="139"/>
      <c r="G110" s="139"/>
      <c r="H110" s="40"/>
      <c r="I110" s="2667"/>
      <c r="J110" s="2667"/>
      <c r="K110" s="2667"/>
      <c r="L110" s="1401"/>
      <c r="M110" s="1401"/>
      <c r="N110" s="1401"/>
      <c r="O110" s="1401"/>
      <c r="P110" s="1401"/>
      <c r="Q110" s="782"/>
    </row>
    <row r="111" spans="1:32" ht="65.25" customHeight="1">
      <c r="A111" s="3958" t="s">
        <v>6993</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1"/>
      <c r="Q114" s="3962"/>
    </row>
    <row r="115" spans="1:32" ht="3" customHeight="1"/>
    <row r="116" spans="1:32" ht="12.75" customHeight="1">
      <c r="A116" s="47" t="s">
        <v>1893</v>
      </c>
      <c r="B116" s="52" t="s">
        <v>4230</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4015"/>
      <c r="N117" s="4016"/>
      <c r="O117" s="4016"/>
      <c r="P117" s="3490"/>
      <c r="Q117" s="2953"/>
    </row>
    <row r="118" spans="1:32" s="42" customFormat="1" ht="12.75" customHeight="1">
      <c r="B118" s="144" t="s">
        <v>1659</v>
      </c>
      <c r="C118" s="36" t="s">
        <v>4012</v>
      </c>
      <c r="O118" s="65" t="s">
        <v>1659</v>
      </c>
      <c r="P118" s="2666"/>
      <c r="Q118" s="2958"/>
      <c r="AE118" s="50"/>
      <c r="AF118" s="50"/>
    </row>
    <row r="119" spans="1:32" s="42" customFormat="1" ht="12.75" customHeight="1">
      <c r="B119" s="1305" t="s">
        <v>1660</v>
      </c>
      <c r="C119" s="36" t="s">
        <v>4257</v>
      </c>
      <c r="O119" s="147" t="s">
        <v>1660</v>
      </c>
      <c r="P119" s="2499"/>
      <c r="Q119" s="2961"/>
      <c r="AE119" s="50"/>
      <c r="AF119" s="50"/>
    </row>
    <row r="120" spans="1:32" ht="12.75" customHeight="1">
      <c r="A120" s="2667"/>
      <c r="B120" s="451" t="s">
        <v>2260</v>
      </c>
      <c r="C120" s="783" t="s">
        <v>3958</v>
      </c>
      <c r="D120" s="901"/>
      <c r="E120" s="901"/>
      <c r="F120" s="901"/>
      <c r="G120" s="901"/>
      <c r="H120" s="901"/>
      <c r="I120" s="901"/>
      <c r="J120" s="901"/>
      <c r="K120" s="901"/>
      <c r="L120" s="901"/>
      <c r="M120" s="901"/>
      <c r="O120" s="159" t="s">
        <v>2260</v>
      </c>
      <c r="P120" s="2500"/>
      <c r="Q120" s="2953"/>
    </row>
    <row r="121" spans="1:32" ht="12.75" customHeight="1">
      <c r="A121" s="2667"/>
      <c r="B121" s="451" t="s">
        <v>1487</v>
      </c>
      <c r="C121" s="783" t="s">
        <v>3199</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3200</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2672</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4149</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1895</v>
      </c>
      <c r="B125" s="52" t="s">
        <v>4148</v>
      </c>
      <c r="C125" s="52"/>
      <c r="E125" s="52"/>
      <c r="F125" s="52"/>
      <c r="G125" s="52"/>
      <c r="H125" s="52"/>
      <c r="I125" s="52"/>
      <c r="J125" s="52"/>
      <c r="K125" s="52"/>
      <c r="L125" s="52"/>
      <c r="M125" s="52"/>
      <c r="O125" s="439" t="s">
        <v>1895</v>
      </c>
      <c r="P125" s="2666"/>
      <c r="Q125" s="2958"/>
    </row>
    <row r="126" spans="1:32" ht="12.75" customHeight="1">
      <c r="B126" s="1305" t="s">
        <v>1658</v>
      </c>
      <c r="C126" s="52" t="s">
        <v>4279</v>
      </c>
      <c r="D126" s="52"/>
      <c r="E126" s="52"/>
      <c r="F126" s="52"/>
      <c r="G126" s="52"/>
      <c r="H126" s="52"/>
      <c r="I126" s="52"/>
      <c r="J126" s="52"/>
      <c r="K126" s="52"/>
      <c r="L126" s="52"/>
      <c r="M126" s="52"/>
      <c r="O126" s="147" t="s">
        <v>1658</v>
      </c>
      <c r="P126" s="2666"/>
      <c r="Q126" s="2958"/>
    </row>
    <row r="127" spans="1:32" ht="12.75" customHeight="1">
      <c r="A127" s="47"/>
      <c r="B127" s="144" t="s">
        <v>1659</v>
      </c>
      <c r="C127" s="52" t="s">
        <v>4278</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67"/>
      <c r="J128" s="2667"/>
      <c r="K128" s="2667"/>
      <c r="L128" s="1401"/>
      <c r="M128" s="1401"/>
      <c r="N128" s="1401"/>
      <c r="O128" s="1401"/>
      <c r="P128" s="1401"/>
      <c r="Q128" s="782"/>
    </row>
    <row r="129" spans="1:31" ht="24.75" customHeight="1">
      <c r="A129" s="3958" t="s">
        <v>6994</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1"/>
      <c r="Q132" s="3962"/>
    </row>
    <row r="133" spans="1:31" ht="6.6" customHeight="1"/>
    <row r="134" spans="1:31">
      <c r="A134" s="47" t="s">
        <v>1893</v>
      </c>
      <c r="B134" s="52" t="s">
        <v>6439</v>
      </c>
      <c r="D134" s="132"/>
      <c r="E134" s="132"/>
      <c r="F134" s="132"/>
      <c r="G134" s="132"/>
      <c r="H134" s="132"/>
      <c r="I134" s="42"/>
      <c r="J134" s="42"/>
      <c r="K134" s="439" t="s">
        <v>1893</v>
      </c>
      <c r="L134" s="3955" t="s">
        <v>6975</v>
      </c>
      <c r="M134" s="3955"/>
      <c r="N134" s="3955"/>
      <c r="O134" s="3955"/>
      <c r="P134" s="3955"/>
      <c r="Q134" s="2955"/>
    </row>
    <row r="135" spans="1:31" ht="12" customHeight="1">
      <c r="B135" s="55" t="s">
        <v>6440</v>
      </c>
      <c r="O135" s="65" t="s">
        <v>1659</v>
      </c>
      <c r="P135" s="2500" t="s">
        <v>2772</v>
      </c>
      <c r="Q135" s="2964"/>
    </row>
    <row r="136" spans="1:31" ht="12" customHeight="1">
      <c r="A136" s="47" t="s">
        <v>1895</v>
      </c>
      <c r="B136" s="52" t="s">
        <v>1476</v>
      </c>
      <c r="D136" s="132"/>
      <c r="E136" s="132"/>
      <c r="F136" s="132"/>
      <c r="G136" s="132"/>
      <c r="H136" s="132"/>
      <c r="I136" s="42"/>
      <c r="J136" s="42"/>
      <c r="K136" s="132"/>
      <c r="L136" s="2657"/>
      <c r="O136" s="439" t="s">
        <v>1895</v>
      </c>
      <c r="P136" s="2500" t="s">
        <v>2769</v>
      </c>
      <c r="Q136" s="2964"/>
    </row>
    <row r="137" spans="1:31" ht="12" customHeight="1">
      <c r="A137" s="47" t="s">
        <v>719</v>
      </c>
      <c r="B137" s="52" t="s">
        <v>143</v>
      </c>
      <c r="D137" s="132"/>
      <c r="E137" s="132"/>
      <c r="F137" s="132"/>
      <c r="G137" s="132"/>
      <c r="H137" s="132"/>
      <c r="I137" s="42"/>
      <c r="J137" s="42"/>
      <c r="K137" s="2657"/>
      <c r="L137" s="2657"/>
      <c r="O137" s="439" t="s">
        <v>719</v>
      </c>
      <c r="P137" s="2668" t="s">
        <v>2769</v>
      </c>
      <c r="Q137" s="2965"/>
    </row>
    <row r="138" spans="1:31" ht="12" customHeight="1">
      <c r="A138" s="47"/>
      <c r="B138" s="783" t="s">
        <v>1658</v>
      </c>
      <c r="C138" s="52" t="s">
        <v>2540</v>
      </c>
      <c r="E138" s="132"/>
      <c r="F138" s="132"/>
      <c r="G138" s="132"/>
      <c r="H138" s="132"/>
      <c r="I138" s="42"/>
      <c r="J138" s="42"/>
      <c r="K138" s="65" t="s">
        <v>1658</v>
      </c>
      <c r="L138" s="3955" t="s">
        <v>6976</v>
      </c>
      <c r="M138" s="3955"/>
      <c r="N138" s="3955"/>
      <c r="O138" s="3955"/>
      <c r="P138" s="3955"/>
      <c r="Q138" s="2955"/>
    </row>
    <row r="139" spans="1:31" ht="12" customHeight="1">
      <c r="A139" s="137"/>
      <c r="B139" s="144" t="s">
        <v>1659</v>
      </c>
      <c r="C139" s="36" t="s">
        <v>3201</v>
      </c>
      <c r="E139" s="42"/>
      <c r="F139" s="42"/>
      <c r="G139" s="42"/>
      <c r="H139" s="52"/>
      <c r="I139" s="42"/>
      <c r="J139" s="42"/>
      <c r="K139" s="132"/>
      <c r="L139" s="2657"/>
      <c r="M139" s="2657"/>
      <c r="O139" s="439" t="s">
        <v>1659</v>
      </c>
      <c r="P139" s="2666">
        <v>65</v>
      </c>
      <c r="Q139" s="2958"/>
    </row>
    <row r="140" spans="1:31" ht="12" customHeight="1">
      <c r="A140" s="137"/>
      <c r="B140" s="40" t="s">
        <v>1660</v>
      </c>
      <c r="C140" s="36" t="s">
        <v>3944</v>
      </c>
      <c r="D140" s="146"/>
      <c r="E140" s="42"/>
      <c r="F140" s="42"/>
      <c r="G140" s="42"/>
      <c r="H140" s="52"/>
      <c r="I140" s="42"/>
      <c r="J140" s="42"/>
      <c r="K140" s="132"/>
      <c r="L140" s="2657"/>
      <c r="M140" s="2657"/>
      <c r="O140" s="439" t="s">
        <v>1660</v>
      </c>
      <c r="P140" s="2668" t="s">
        <v>6926</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2772</v>
      </c>
      <c r="G142" s="2952"/>
      <c r="H142" s="439" t="s">
        <v>4040</v>
      </c>
      <c r="I142" s="52" t="s">
        <v>6329</v>
      </c>
      <c r="K142" s="2666" t="s">
        <v>2769</v>
      </c>
      <c r="L142" s="2958"/>
      <c r="M142" s="439" t="s">
        <v>4044</v>
      </c>
      <c r="N142" s="55" t="s">
        <v>3418</v>
      </c>
      <c r="O142" s="2657"/>
      <c r="P142" s="2492" t="s">
        <v>2772</v>
      </c>
      <c r="Q142" s="2952"/>
    </row>
    <row r="143" spans="1:31" ht="12.75" customHeight="1">
      <c r="B143" s="144" t="s">
        <v>1659</v>
      </c>
      <c r="C143" s="52" t="s">
        <v>6441</v>
      </c>
      <c r="E143" s="132"/>
      <c r="F143" s="2669" t="s">
        <v>2772</v>
      </c>
      <c r="G143" s="2953"/>
      <c r="H143" s="439" t="s">
        <v>4041</v>
      </c>
      <c r="I143" s="52" t="s">
        <v>6330</v>
      </c>
      <c r="K143" s="2669" t="s">
        <v>2769</v>
      </c>
      <c r="L143" s="2953"/>
      <c r="M143" s="439" t="s">
        <v>4045</v>
      </c>
      <c r="N143" s="52" t="s">
        <v>1489</v>
      </c>
      <c r="P143" s="2669" t="s">
        <v>2772</v>
      </c>
      <c r="Q143" s="2953"/>
    </row>
    <row r="144" spans="1:31" ht="12" customHeight="1">
      <c r="A144" s="36"/>
      <c r="B144" s="144" t="s">
        <v>1660</v>
      </c>
      <c r="C144" s="52" t="s">
        <v>6442</v>
      </c>
      <c r="E144" s="132"/>
      <c r="F144" s="2669" t="s">
        <v>2772</v>
      </c>
      <c r="G144" s="2953"/>
      <c r="H144" s="439" t="s">
        <v>4042</v>
      </c>
      <c r="I144" s="55" t="s">
        <v>6443</v>
      </c>
      <c r="K144" s="2668" t="s">
        <v>2769</v>
      </c>
      <c r="L144" s="2954"/>
      <c r="M144" s="439" t="s">
        <v>6444</v>
      </c>
      <c r="N144" s="55" t="s">
        <v>6331</v>
      </c>
      <c r="P144" s="2669" t="s">
        <v>2769</v>
      </c>
      <c r="Q144" s="2953"/>
    </row>
    <row r="145" spans="1:32" ht="12" customHeight="1">
      <c r="A145" s="36"/>
      <c r="B145" s="144" t="s">
        <v>2260</v>
      </c>
      <c r="C145" s="55" t="s">
        <v>2503</v>
      </c>
      <c r="E145" s="132"/>
      <c r="F145" s="2669" t="s">
        <v>2772</v>
      </c>
      <c r="G145" s="2953"/>
      <c r="H145" s="439" t="s">
        <v>4043</v>
      </c>
      <c r="I145" s="3963" t="s">
        <v>6446</v>
      </c>
      <c r="J145" s="3963"/>
      <c r="K145" s="784"/>
      <c r="M145" s="439" t="s">
        <v>6445</v>
      </c>
      <c r="N145" s="52" t="s">
        <v>141</v>
      </c>
      <c r="P145" s="2668" t="s">
        <v>2769</v>
      </c>
      <c r="Q145" s="2954"/>
    </row>
    <row r="146" spans="1:32" ht="12" customHeight="1">
      <c r="A146" s="36"/>
      <c r="B146" s="439" t="s">
        <v>4039</v>
      </c>
      <c r="C146" s="52" t="s">
        <v>2611</v>
      </c>
      <c r="E146" s="132"/>
      <c r="F146" s="2668" t="s">
        <v>2772</v>
      </c>
      <c r="G146" s="2954"/>
      <c r="I146" s="3963"/>
      <c r="J146" s="3963"/>
      <c r="K146" s="2493" t="s">
        <v>2772</v>
      </c>
      <c r="L146" s="2955"/>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4148" t="s">
        <v>931</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3260</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t="s">
        <v>2772</v>
      </c>
      <c r="Q150" s="2952"/>
    </row>
    <row r="151" spans="1:32" ht="12.75" customHeight="1">
      <c r="A151" s="2667"/>
      <c r="B151" s="144" t="s">
        <v>1659</v>
      </c>
      <c r="C151" s="52" t="s">
        <v>469</v>
      </c>
      <c r="E151" s="52"/>
      <c r="F151" s="52"/>
      <c r="G151" s="52"/>
      <c r="H151" s="52"/>
      <c r="I151" s="42"/>
      <c r="J151" s="42"/>
      <c r="K151" s="52"/>
      <c r="L151" s="52"/>
      <c r="M151" s="52"/>
      <c r="O151" s="65" t="s">
        <v>1659</v>
      </c>
      <c r="P151" s="2669" t="s">
        <v>2772</v>
      </c>
      <c r="Q151" s="2953"/>
    </row>
    <row r="152" spans="1:32" ht="12.75" customHeight="1">
      <c r="A152" s="2667"/>
      <c r="B152" s="144" t="s">
        <v>1660</v>
      </c>
      <c r="C152" s="52" t="s">
        <v>651</v>
      </c>
      <c r="E152" s="52"/>
      <c r="F152" s="52"/>
      <c r="G152" s="52"/>
      <c r="H152" s="52"/>
      <c r="I152" s="42"/>
      <c r="J152" s="42"/>
      <c r="K152" s="52"/>
      <c r="L152" s="52"/>
      <c r="M152" s="52"/>
      <c r="O152" s="65" t="s">
        <v>1660</v>
      </c>
      <c r="P152" s="2669" t="s">
        <v>2772</v>
      </c>
      <c r="Q152" s="2953"/>
    </row>
    <row r="153" spans="1:32" ht="12.75" customHeight="1">
      <c r="A153" s="2667"/>
      <c r="B153" s="40" t="s">
        <v>2260</v>
      </c>
      <c r="C153" s="52" t="s">
        <v>4026</v>
      </c>
      <c r="E153" s="52"/>
      <c r="F153" s="52"/>
      <c r="G153" s="52"/>
      <c r="H153" s="52"/>
      <c r="I153" s="42"/>
      <c r="J153" s="42"/>
      <c r="K153" s="52"/>
      <c r="L153" s="52"/>
      <c r="M153" s="52"/>
      <c r="O153" s="439" t="s">
        <v>2260</v>
      </c>
      <c r="P153" s="2668" t="s">
        <v>2772</v>
      </c>
      <c r="Q153" s="2954"/>
    </row>
    <row r="154" spans="1:32" ht="12" customHeight="1">
      <c r="A154" s="399" t="s">
        <v>4150</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1691</v>
      </c>
      <c r="O155" s="4042"/>
      <c r="P155" s="4043" t="s">
        <v>1691</v>
      </c>
      <c r="Q155" s="4044"/>
      <c r="AE155" s="5"/>
      <c r="AF155" s="5"/>
    </row>
    <row r="156" spans="1:32" ht="11.25" customHeight="1">
      <c r="B156" s="139" t="s">
        <v>3372</v>
      </c>
      <c r="D156" s="139"/>
      <c r="E156" s="139"/>
      <c r="F156" s="139"/>
      <c r="G156" s="139"/>
      <c r="H156" s="40"/>
      <c r="I156" s="2667"/>
      <c r="J156" s="2667"/>
      <c r="K156" s="2667"/>
      <c r="L156" s="1401"/>
      <c r="M156" s="1401"/>
      <c r="N156" s="1401"/>
      <c r="O156" s="1401"/>
      <c r="P156" s="1401"/>
      <c r="Q156" s="782"/>
    </row>
    <row r="157" spans="1:32" ht="112.5" customHeight="1">
      <c r="A157" s="3958" t="s">
        <v>7005</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1"/>
      <c r="Q162" s="3962"/>
    </row>
    <row r="163" spans="1:31" ht="12" customHeight="1">
      <c r="A163" s="47" t="s">
        <v>1893</v>
      </c>
      <c r="B163" s="144" t="s">
        <v>1658</v>
      </c>
      <c r="C163" s="52" t="s">
        <v>6332</v>
      </c>
      <c r="D163" s="52"/>
      <c r="E163" s="52"/>
      <c r="F163" s="52"/>
      <c r="G163" s="52"/>
      <c r="K163" s="52" t="s">
        <v>2555</v>
      </c>
      <c r="M163" s="4045">
        <v>44681</v>
      </c>
      <c r="N163" s="4046"/>
      <c r="O163" s="65" t="s">
        <v>1658</v>
      </c>
      <c r="P163" s="2489" t="s">
        <v>2769</v>
      </c>
      <c r="Q163" s="2966"/>
    </row>
    <row r="164" spans="1:31" ht="12" customHeight="1">
      <c r="A164" s="47"/>
      <c r="B164" s="144" t="s">
        <v>1659</v>
      </c>
      <c r="C164" s="52" t="s">
        <v>4258</v>
      </c>
      <c r="D164" s="52"/>
      <c r="E164" s="52"/>
      <c r="F164" s="52"/>
      <c r="G164" s="52"/>
      <c r="K164" s="52" t="s">
        <v>2555</v>
      </c>
      <c r="M164" s="4045" t="s">
        <v>931</v>
      </c>
      <c r="N164" s="4046"/>
      <c r="O164" s="65" t="s">
        <v>1659</v>
      </c>
      <c r="P164" s="2489" t="s">
        <v>2772</v>
      </c>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6" t="s">
        <v>6977</v>
      </c>
      <c r="N165" s="4057"/>
      <c r="P165" s="4058" t="s">
        <v>1691</v>
      </c>
      <c r="Q165" s="4059"/>
    </row>
    <row r="166" spans="1:31" ht="12" customHeight="1">
      <c r="A166" s="47" t="s">
        <v>719</v>
      </c>
      <c r="B166" s="138" t="s">
        <v>652</v>
      </c>
      <c r="D166" s="138"/>
      <c r="E166" s="138"/>
      <c r="F166" s="138"/>
      <c r="G166" s="138"/>
      <c r="H166" s="138"/>
      <c r="J166" s="439" t="s">
        <v>719</v>
      </c>
      <c r="K166" s="4015" t="s">
        <v>6892</v>
      </c>
      <c r="L166" s="4016"/>
      <c r="M166" s="4016"/>
      <c r="N166" s="4016"/>
      <c r="O166" s="4016"/>
      <c r="P166" s="4017"/>
      <c r="Q166" s="2966"/>
    </row>
    <row r="167" spans="1:31" ht="21.75" customHeight="1">
      <c r="A167" s="140" t="s">
        <v>2021</v>
      </c>
      <c r="B167" s="3963" t="s">
        <v>6447</v>
      </c>
      <c r="C167" s="3963"/>
      <c r="D167" s="3963"/>
      <c r="E167" s="3963"/>
      <c r="F167" s="3963"/>
      <c r="G167" s="3963"/>
      <c r="H167" s="3963"/>
      <c r="I167" s="3963"/>
      <c r="J167" s="3963"/>
      <c r="K167" s="3963"/>
      <c r="L167" s="3963"/>
      <c r="M167" s="3963"/>
      <c r="N167" s="3963"/>
      <c r="O167" s="159" t="s">
        <v>2021</v>
      </c>
      <c r="P167" s="2665" t="s">
        <v>6949</v>
      </c>
      <c r="Q167" s="2962"/>
    </row>
    <row r="168" spans="1:31" ht="12" customHeight="1">
      <c r="B168" s="139" t="s">
        <v>3372</v>
      </c>
      <c r="D168" s="139"/>
      <c r="E168" s="139"/>
      <c r="F168" s="139"/>
      <c r="G168" s="139"/>
      <c r="H168" s="40"/>
      <c r="I168" s="2667"/>
      <c r="J168" s="2667"/>
      <c r="K168" s="2667"/>
      <c r="L168" s="1401"/>
      <c r="M168" s="1401"/>
      <c r="N168" s="1401"/>
      <c r="O168" s="1401"/>
      <c r="P168" s="1401"/>
      <c r="Q168" s="782"/>
    </row>
    <row r="169" spans="1:31">
      <c r="A169" s="3958" t="s">
        <v>6978</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1"/>
      <c r="Q173" s="3962"/>
    </row>
    <row r="174" spans="1:31" ht="21.75" customHeight="1">
      <c r="A174" s="140" t="s">
        <v>1893</v>
      </c>
      <c r="B174" s="3963" t="s">
        <v>3366</v>
      </c>
      <c r="C174" s="3963"/>
      <c r="D174" s="3963"/>
      <c r="E174" s="3963"/>
      <c r="F174" s="3963"/>
      <c r="G174" s="3963"/>
      <c r="H174" s="3963"/>
      <c r="I174" s="3963"/>
      <c r="J174" s="3963"/>
      <c r="K174" s="3963"/>
      <c r="L174" s="3963"/>
      <c r="M174" s="3963"/>
      <c r="N174" s="3963"/>
      <c r="O174" s="159" t="s">
        <v>1893</v>
      </c>
      <c r="P174" s="2502" t="s">
        <v>2769</v>
      </c>
      <c r="Q174" s="2967"/>
    </row>
    <row r="175" spans="1:31" ht="22.35" customHeight="1">
      <c r="A175" s="140" t="s">
        <v>1895</v>
      </c>
      <c r="B175" s="3963" t="s">
        <v>3959</v>
      </c>
      <c r="C175" s="3963"/>
      <c r="D175" s="3963"/>
      <c r="E175" s="3963"/>
      <c r="F175" s="3963"/>
      <c r="G175" s="3963"/>
      <c r="H175" s="3963"/>
      <c r="I175" s="3963"/>
      <c r="J175" s="3963"/>
      <c r="K175" s="3963"/>
      <c r="L175" s="3963"/>
      <c r="M175" s="3963"/>
      <c r="N175" s="3963"/>
      <c r="O175" s="159" t="s">
        <v>1895</v>
      </c>
      <c r="P175" s="2664" t="s">
        <v>6926</v>
      </c>
      <c r="Q175" s="2960"/>
    </row>
    <row r="176" spans="1:31" ht="22.35" customHeight="1">
      <c r="A176" s="140" t="s">
        <v>719</v>
      </c>
      <c r="B176" s="3963" t="s">
        <v>3367</v>
      </c>
      <c r="C176" s="3963"/>
      <c r="D176" s="3963"/>
      <c r="E176" s="3963"/>
      <c r="F176" s="3963"/>
      <c r="G176" s="3963"/>
      <c r="H176" s="3963"/>
      <c r="I176" s="3963"/>
      <c r="J176" s="3963"/>
      <c r="K176" s="3963"/>
      <c r="L176" s="3963"/>
      <c r="M176" s="3963"/>
      <c r="N176" s="3963"/>
      <c r="O176" s="159" t="s">
        <v>719</v>
      </c>
      <c r="P176" s="2664" t="s">
        <v>6926</v>
      </c>
      <c r="Q176" s="2960"/>
    </row>
    <row r="177" spans="1:32" ht="21.75" customHeight="1">
      <c r="A177" s="140" t="s">
        <v>2021</v>
      </c>
      <c r="B177" s="3963" t="s">
        <v>4007</v>
      </c>
      <c r="C177" s="3963"/>
      <c r="D177" s="3963"/>
      <c r="E177" s="3963"/>
      <c r="F177" s="3963"/>
      <c r="G177" s="3963"/>
      <c r="H177" s="3963"/>
      <c r="I177" s="3963"/>
      <c r="J177" s="3963"/>
      <c r="K177" s="3963"/>
      <c r="L177" s="3963"/>
      <c r="M177" s="3963"/>
      <c r="N177" s="3963"/>
      <c r="O177" s="159" t="s">
        <v>2021</v>
      </c>
      <c r="P177" s="2665" t="s">
        <v>6926</v>
      </c>
      <c r="Q177" s="2962"/>
    </row>
    <row r="178" spans="1:32" ht="12" customHeight="1">
      <c r="B178" s="139" t="s">
        <v>3372</v>
      </c>
      <c r="D178" s="139"/>
      <c r="E178" s="139"/>
      <c r="F178" s="139"/>
      <c r="G178" s="139"/>
      <c r="H178" s="40"/>
      <c r="I178" s="2667"/>
      <c r="J178" s="2667"/>
      <c r="K178" s="2667"/>
      <c r="L178" s="1401"/>
      <c r="M178" s="1401"/>
      <c r="N178" s="1401"/>
      <c r="O178" s="1401"/>
      <c r="P178" s="1401"/>
      <c r="Q178" s="782"/>
    </row>
    <row r="179" spans="1:32" ht="25.5" customHeight="1">
      <c r="A179" s="3958" t="s">
        <v>6995</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2516</v>
      </c>
      <c r="C183" s="3875"/>
      <c r="D183" s="3875"/>
      <c r="F183" s="380" t="s">
        <v>6377</v>
      </c>
      <c r="O183" s="130" t="s">
        <v>1781</v>
      </c>
      <c r="P183" s="3961"/>
      <c r="Q183" s="3962"/>
    </row>
    <row r="184" spans="1:32" s="27" customFormat="1" ht="11.45" customHeight="1">
      <c r="B184" s="55" t="s">
        <v>6448</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6333</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4009</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3" t="s">
        <v>3368</v>
      </c>
      <c r="D190" s="3963"/>
      <c r="E190" s="3963"/>
      <c r="F190" s="3963"/>
      <c r="G190" s="3963"/>
      <c r="H190" s="3963"/>
      <c r="I190" s="3963"/>
      <c r="J190" s="3963"/>
      <c r="K190" s="3963"/>
      <c r="L190" s="3963"/>
      <c r="M190" s="3963"/>
      <c r="N190" s="3963"/>
      <c r="O190" s="159" t="s">
        <v>1660</v>
      </c>
      <c r="P190" s="2664"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4" t="s">
        <v>2772</v>
      </c>
      <c r="Q192" s="2960"/>
      <c r="AE192" s="442"/>
      <c r="AF192" s="442"/>
    </row>
    <row r="193" spans="1:32" s="131" customFormat="1" ht="21.75" customHeight="1">
      <c r="A193" s="140"/>
      <c r="B193" s="451" t="s">
        <v>1488</v>
      </c>
      <c r="C193" s="3963" t="s">
        <v>3445</v>
      </c>
      <c r="D193" s="3963"/>
      <c r="E193" s="3963"/>
      <c r="F193" s="3963"/>
      <c r="G193" s="3963"/>
      <c r="H193" s="3963"/>
      <c r="I193" s="3963"/>
      <c r="J193" s="3963"/>
      <c r="K193" s="3963"/>
      <c r="L193" s="3963"/>
      <c r="M193" s="3963"/>
      <c r="N193" s="3963"/>
      <c r="O193" s="159" t="s">
        <v>1488</v>
      </c>
      <c r="P193" s="2664" t="s">
        <v>2772</v>
      </c>
      <c r="Q193" s="2960"/>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4"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8" t="s">
        <v>2769</v>
      </c>
      <c r="Q195" s="2954"/>
    </row>
    <row r="196" spans="1:32" ht="12" customHeight="1">
      <c r="B196" s="139" t="s">
        <v>3372</v>
      </c>
      <c r="D196" s="139"/>
      <c r="E196" s="139"/>
      <c r="F196" s="139"/>
      <c r="G196" s="139"/>
      <c r="H196" s="40"/>
      <c r="I196" s="2667"/>
      <c r="J196" s="2667"/>
      <c r="K196" s="2667"/>
      <c r="L196" s="1401"/>
      <c r="M196" s="1401"/>
      <c r="N196" s="1401"/>
      <c r="O196" s="1401"/>
      <c r="P196" s="1401"/>
      <c r="Q196" s="782"/>
    </row>
    <row r="197" spans="1:32" ht="27" customHeight="1">
      <c r="A197" s="3958" t="s">
        <v>6996</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6377</v>
      </c>
      <c r="G201" s="2653"/>
      <c r="J201" s="784"/>
      <c r="K201" s="784"/>
      <c r="L201" s="784"/>
      <c r="M201" s="784"/>
      <c r="N201" s="784"/>
      <c r="O201" s="130" t="s">
        <v>1781</v>
      </c>
      <c r="P201" s="3961"/>
      <c r="Q201" s="3962"/>
    </row>
    <row r="202" spans="1:32" s="27" customFormat="1" ht="12.75" customHeight="1">
      <c r="B202" s="55" t="s">
        <v>6448</v>
      </c>
      <c r="N202" s="119"/>
      <c r="P202" s="2489" t="s">
        <v>2772</v>
      </c>
      <c r="Q202" s="2966"/>
      <c r="AE202" s="115"/>
      <c r="AF202" s="115"/>
    </row>
    <row r="203" spans="1:32" ht="33.75" customHeight="1">
      <c r="B203" s="4164" t="s">
        <v>6334</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t="s">
        <v>6979</v>
      </c>
      <c r="K204" s="4029"/>
      <c r="L204" s="4029"/>
      <c r="M204" s="4029"/>
      <c r="N204" s="4030"/>
      <c r="O204" s="65" t="s">
        <v>1658</v>
      </c>
      <c r="P204" s="2492" t="s">
        <v>2769</v>
      </c>
      <c r="Q204" s="2952"/>
    </row>
    <row r="205" spans="1:32" ht="12.75" customHeight="1">
      <c r="A205" s="137"/>
      <c r="B205" s="139" t="s">
        <v>3372</v>
      </c>
      <c r="C205" s="103"/>
      <c r="D205" s="103"/>
      <c r="E205" s="103"/>
      <c r="F205" s="103"/>
      <c r="H205" s="65" t="s">
        <v>1659</v>
      </c>
      <c r="I205" s="52" t="s">
        <v>1530</v>
      </c>
      <c r="J205" s="3964" t="s">
        <v>6928</v>
      </c>
      <c r="K205" s="3965"/>
      <c r="L205" s="3965"/>
      <c r="M205" s="3965"/>
      <c r="N205" s="3966"/>
      <c r="O205" s="65" t="s">
        <v>1659</v>
      </c>
      <c r="P205" s="2668" t="s">
        <v>2769</v>
      </c>
      <c r="Q205" s="2954"/>
    </row>
    <row r="206" spans="1:32" ht="36" customHeight="1">
      <c r="A206" s="3958" t="s">
        <v>6997</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6378</v>
      </c>
      <c r="J210" s="2653"/>
      <c r="K210" s="2653"/>
      <c r="L210" s="2653"/>
      <c r="M210" s="2653"/>
      <c r="O210" s="130" t="s">
        <v>1781</v>
      </c>
      <c r="P210" s="3961"/>
      <c r="Q210" s="3962"/>
    </row>
    <row r="211" spans="1:32" s="27" customFormat="1" ht="12.75" customHeight="1">
      <c r="B211" s="55" t="s">
        <v>6448</v>
      </c>
      <c r="N211" s="119"/>
      <c r="P211" s="2489" t="s">
        <v>2772</v>
      </c>
      <c r="Q211" s="2966"/>
      <c r="AE211" s="115"/>
      <c r="AF211" s="115"/>
    </row>
    <row r="212" spans="1:32" ht="12.75" customHeight="1">
      <c r="A212" s="140" t="s">
        <v>1893</v>
      </c>
      <c r="B212" s="3963" t="s">
        <v>1763</v>
      </c>
      <c r="C212" s="3963"/>
      <c r="D212" s="3963"/>
      <c r="E212" s="3963"/>
      <c r="F212" s="3963"/>
      <c r="G212" s="3963"/>
      <c r="H212" s="65" t="s">
        <v>1658</v>
      </c>
      <c r="I212" s="52" t="s">
        <v>605</v>
      </c>
      <c r="J212" s="4028" t="s">
        <v>6907</v>
      </c>
      <c r="K212" s="4029"/>
      <c r="L212" s="4029"/>
      <c r="M212" s="4029"/>
      <c r="N212" s="4030"/>
      <c r="O212" s="159" t="s">
        <v>1427</v>
      </c>
      <c r="P212" s="2666" t="s">
        <v>2769</v>
      </c>
      <c r="Q212" s="2958"/>
    </row>
    <row r="213" spans="1:32" ht="12.75" customHeight="1">
      <c r="A213" s="148"/>
      <c r="B213" s="3963"/>
      <c r="C213" s="3963"/>
      <c r="D213" s="3963"/>
      <c r="E213" s="3963"/>
      <c r="F213" s="3963"/>
      <c r="G213" s="3963"/>
      <c r="H213" s="65" t="s">
        <v>1659</v>
      </c>
      <c r="I213" s="52" t="s">
        <v>109</v>
      </c>
      <c r="J213" s="3964" t="s">
        <v>6907</v>
      </c>
      <c r="K213" s="3965"/>
      <c r="L213" s="3965"/>
      <c r="M213" s="3965"/>
      <c r="N213" s="3966"/>
      <c r="O213" s="159" t="s">
        <v>1659</v>
      </c>
      <c r="P213" s="2669" t="s">
        <v>2769</v>
      </c>
      <c r="Q213" s="2953"/>
    </row>
    <row r="214" spans="1:32" ht="12.75" customHeight="1">
      <c r="A214" s="140" t="s">
        <v>1895</v>
      </c>
      <c r="B214" s="52" t="s">
        <v>3449</v>
      </c>
      <c r="D214" s="52"/>
      <c r="E214" s="52"/>
      <c r="F214" s="52"/>
      <c r="G214" s="52"/>
      <c r="H214" s="52"/>
      <c r="I214" s="52"/>
      <c r="J214" s="52"/>
      <c r="K214" s="42"/>
      <c r="L214" s="52"/>
      <c r="M214" s="52"/>
      <c r="O214" s="439" t="s">
        <v>1895</v>
      </c>
      <c r="P214" s="2669" t="s">
        <v>2772</v>
      </c>
      <c r="Q214" s="2953"/>
    </row>
    <row r="215" spans="1:32" ht="12.75" customHeight="1">
      <c r="A215" s="47" t="s">
        <v>719</v>
      </c>
      <c r="B215" s="52" t="s">
        <v>3450</v>
      </c>
      <c r="D215" s="52"/>
      <c r="E215" s="52"/>
      <c r="F215" s="52"/>
      <c r="G215" s="52"/>
      <c r="H215" s="52"/>
      <c r="I215" s="52"/>
      <c r="J215" s="52"/>
      <c r="K215" s="42"/>
      <c r="L215" s="52"/>
      <c r="M215" s="52"/>
      <c r="O215" s="439" t="s">
        <v>719</v>
      </c>
      <c r="P215" s="2668" t="s">
        <v>2772</v>
      </c>
      <c r="Q215" s="2954"/>
    </row>
    <row r="216" spans="1:32" ht="12.75" customHeight="1">
      <c r="B216" s="139" t="s">
        <v>3372</v>
      </c>
      <c r="D216" s="139"/>
      <c r="E216" s="139"/>
      <c r="F216" s="139"/>
      <c r="G216" s="139"/>
      <c r="H216" s="40"/>
      <c r="I216" s="2667"/>
      <c r="J216" s="2667"/>
      <c r="K216" s="2667"/>
      <c r="L216" s="1401"/>
      <c r="M216" s="1401"/>
      <c r="N216" s="1401"/>
      <c r="O216" s="1401"/>
      <c r="P216" s="1401"/>
      <c r="Q216" s="782"/>
    </row>
    <row r="217" spans="1:32" ht="26.25" customHeight="1">
      <c r="A217" s="3958" t="s">
        <v>6998</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1"/>
      <c r="Q221" s="3962"/>
    </row>
    <row r="222" spans="1:32" s="27" customFormat="1" ht="12.75" customHeight="1">
      <c r="B222" s="143" t="s">
        <v>1147</v>
      </c>
      <c r="N222" s="119"/>
      <c r="P222" s="2489" t="s">
        <v>2772</v>
      </c>
      <c r="Q222" s="2966"/>
      <c r="AE222" s="115"/>
      <c r="AF222" s="115"/>
    </row>
    <row r="223" spans="1:32" ht="12.75" customHeight="1">
      <c r="A223" s="47" t="s">
        <v>1893</v>
      </c>
      <c r="B223" s="36" t="s">
        <v>4231</v>
      </c>
      <c r="D223" s="42"/>
      <c r="E223" s="42"/>
      <c r="F223" s="42"/>
      <c r="G223" s="42"/>
      <c r="H223" s="42"/>
      <c r="I223" s="42"/>
      <c r="J223" s="42"/>
      <c r="K223" s="42"/>
      <c r="L223" s="42"/>
      <c r="M223" s="42"/>
      <c r="O223" s="439" t="s">
        <v>1893</v>
      </c>
      <c r="P223" s="2489" t="s">
        <v>6924</v>
      </c>
      <c r="Q223" s="2952"/>
    </row>
    <row r="224" spans="1:32" ht="12.75" customHeight="1">
      <c r="A224" s="47"/>
      <c r="B224" s="144" t="s">
        <v>1658</v>
      </c>
      <c r="C224" s="52" t="s">
        <v>1842</v>
      </c>
      <c r="E224" s="52"/>
      <c r="F224" s="52"/>
      <c r="G224" s="52"/>
      <c r="H224" s="52"/>
      <c r="I224" s="42"/>
      <c r="J224" s="65" t="s">
        <v>1427</v>
      </c>
      <c r="K224" s="4028" t="s">
        <v>6929</v>
      </c>
      <c r="L224" s="4030"/>
      <c r="Q224" s="2953"/>
    </row>
    <row r="225" spans="1:32" ht="12.75" customHeight="1">
      <c r="A225" s="47"/>
      <c r="B225" s="144" t="s">
        <v>1659</v>
      </c>
      <c r="C225" s="783" t="s">
        <v>3945</v>
      </c>
      <c r="E225" s="783"/>
      <c r="F225" s="783"/>
      <c r="G225" s="783"/>
      <c r="H225" s="783"/>
      <c r="I225" s="42"/>
      <c r="J225" s="65" t="s">
        <v>1428</v>
      </c>
      <c r="K225" s="4021" t="s">
        <v>6930</v>
      </c>
      <c r="L225" s="4022"/>
      <c r="M225" s="4165" t="s">
        <v>6449</v>
      </c>
      <c r="N225" s="4166"/>
      <c r="O225" s="4166"/>
      <c r="P225" s="4167"/>
      <c r="Q225" s="2953"/>
    </row>
    <row r="226" spans="1:32" ht="12.75" customHeight="1">
      <c r="A226" s="47"/>
      <c r="B226" s="40" t="s">
        <v>1660</v>
      </c>
      <c r="C226" s="783" t="s">
        <v>3946</v>
      </c>
      <c r="D226" s="146"/>
      <c r="E226" s="783"/>
      <c r="F226" s="783"/>
      <c r="G226" s="783"/>
      <c r="H226" s="783"/>
      <c r="I226" s="93"/>
      <c r="J226" s="439" t="s">
        <v>1429</v>
      </c>
      <c r="K226" s="3964" t="s">
        <v>6931</v>
      </c>
      <c r="L226" s="3965"/>
      <c r="M226" s="3965"/>
      <c r="N226" s="3966"/>
      <c r="O226" s="1601"/>
      <c r="P226" s="987"/>
      <c r="Q226" s="2954"/>
      <c r="R226" s="42"/>
    </row>
    <row r="227" spans="1:32" ht="12.75" customHeight="1">
      <c r="A227" s="47" t="s">
        <v>1895</v>
      </c>
      <c r="B227" s="52" t="s">
        <v>4232</v>
      </c>
      <c r="D227" s="52"/>
      <c r="E227" s="52"/>
      <c r="F227" s="52"/>
      <c r="G227" s="52"/>
      <c r="H227" s="52"/>
      <c r="I227" s="52"/>
      <c r="J227" s="52"/>
      <c r="K227" s="42"/>
      <c r="L227" s="42"/>
      <c r="M227" s="42"/>
      <c r="N227" s="42"/>
      <c r="O227" s="439" t="s">
        <v>1895</v>
      </c>
      <c r="P227" s="2489" t="s">
        <v>6924</v>
      </c>
      <c r="Q227" s="2966"/>
    </row>
    <row r="228" spans="1:32" ht="12.75" customHeight="1">
      <c r="A228" s="47"/>
      <c r="B228" s="52" t="s">
        <v>4034</v>
      </c>
      <c r="D228" s="52"/>
      <c r="E228" s="52"/>
      <c r="F228" s="52"/>
      <c r="G228" s="52"/>
      <c r="H228" s="52"/>
      <c r="I228" s="52"/>
      <c r="J228" s="52"/>
      <c r="K228" s="42"/>
      <c r="L228" s="42"/>
      <c r="M228" s="42"/>
      <c r="N228" s="439" t="s">
        <v>3273</v>
      </c>
      <c r="O228" s="1312">
        <f>'Part VI-Revenues &amp; Expenses'!$P$67</f>
        <v>89</v>
      </c>
      <c r="P228" s="4047" t="s">
        <v>4036</v>
      </c>
      <c r="Q228" s="4048"/>
    </row>
    <row r="229" spans="1:32" ht="12.75" customHeight="1">
      <c r="A229" s="47"/>
      <c r="B229" s="144" t="s">
        <v>1658</v>
      </c>
      <c r="C229" s="52" t="s">
        <v>4037</v>
      </c>
      <c r="D229" s="52"/>
      <c r="E229" s="52"/>
      <c r="F229" s="52"/>
      <c r="H229" s="439" t="s">
        <v>4038</v>
      </c>
      <c r="I229" s="52" t="s">
        <v>4047</v>
      </c>
      <c r="M229" s="42"/>
      <c r="N229" s="42"/>
      <c r="O229" s="288"/>
      <c r="P229" s="1303" t="s">
        <v>743</v>
      </c>
      <c r="Q229" s="1304" t="s">
        <v>4035</v>
      </c>
    </row>
    <row r="230" spans="1:32" s="43" customFormat="1" ht="12.75" customHeight="1">
      <c r="A230" s="51"/>
      <c r="B230" s="439" t="s">
        <v>2022</v>
      </c>
      <c r="C230" s="4049" t="s">
        <v>4090</v>
      </c>
      <c r="D230" s="4050"/>
      <c r="E230" s="4050"/>
      <c r="F230" s="4050"/>
      <c r="G230" s="4051"/>
      <c r="H230" s="439" t="s">
        <v>2022</v>
      </c>
      <c r="I230" s="4052" t="s">
        <v>3553</v>
      </c>
      <c r="J230" s="4053"/>
      <c r="K230" s="4053"/>
      <c r="L230" s="4053"/>
      <c r="M230" s="4053"/>
      <c r="N230" s="4053"/>
      <c r="O230" s="4054"/>
      <c r="P230" s="2952"/>
      <c r="Q230" s="2968"/>
      <c r="AE230" s="54"/>
      <c r="AF230" s="54"/>
    </row>
    <row r="231" spans="1:32" s="43" customFormat="1" ht="12.75" customHeight="1">
      <c r="A231" s="51"/>
      <c r="B231" s="439" t="s">
        <v>2023</v>
      </c>
      <c r="C231" s="4018" t="s">
        <v>4032</v>
      </c>
      <c r="D231" s="4019"/>
      <c r="E231" s="4019"/>
      <c r="F231" s="4019"/>
      <c r="G231" s="4020"/>
      <c r="H231" s="439" t="s">
        <v>2023</v>
      </c>
      <c r="I231" s="3421"/>
      <c r="J231" s="3372"/>
      <c r="K231" s="3372"/>
      <c r="L231" s="3372"/>
      <c r="M231" s="3372"/>
      <c r="N231" s="3372"/>
      <c r="O231" s="3373"/>
      <c r="P231" s="2953"/>
      <c r="Q231" s="2969"/>
      <c r="AE231" s="54"/>
      <c r="AF231" s="54"/>
    </row>
    <row r="232" spans="1:32" s="43" customFormat="1" ht="12.75" customHeight="1">
      <c r="A232" s="51"/>
      <c r="B232" s="439" t="s">
        <v>1655</v>
      </c>
      <c r="C232" s="4018"/>
      <c r="D232" s="4019"/>
      <c r="E232" s="4019"/>
      <c r="F232" s="4019"/>
      <c r="G232" s="4020"/>
      <c r="H232" s="439" t="s">
        <v>1655</v>
      </c>
      <c r="I232" s="3421" t="s">
        <v>3553</v>
      </c>
      <c r="J232" s="3372"/>
      <c r="K232" s="3372"/>
      <c r="L232" s="3372"/>
      <c r="M232" s="3372"/>
      <c r="N232" s="3372"/>
      <c r="O232" s="3373"/>
      <c r="P232" s="2953"/>
      <c r="Q232" s="2969"/>
      <c r="AE232" s="54"/>
      <c r="AF232" s="54"/>
    </row>
    <row r="233" spans="1:32" s="43" customFormat="1" ht="12.75" customHeight="1">
      <c r="A233" s="51"/>
      <c r="B233" s="439" t="s">
        <v>4046</v>
      </c>
      <c r="C233" s="3990"/>
      <c r="D233" s="3991"/>
      <c r="E233" s="3991"/>
      <c r="F233" s="3991"/>
      <c r="G233" s="3992"/>
      <c r="H233" s="439" t="s">
        <v>4046</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6924</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6335</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6" t="s">
        <v>6450</v>
      </c>
      <c r="D240" s="4006"/>
      <c r="E240" s="4006"/>
      <c r="F240" s="4006"/>
      <c r="G240" s="4006"/>
      <c r="H240" s="4006"/>
      <c r="I240" s="4006"/>
      <c r="J240" s="4006"/>
      <c r="K240" s="4006"/>
      <c r="L240" s="4006"/>
      <c r="M240" s="4006"/>
      <c r="N240" s="4006"/>
      <c r="O240" s="159" t="s">
        <v>1488</v>
      </c>
      <c r="P240" s="2665" t="s">
        <v>2769</v>
      </c>
      <c r="Q240" s="2962"/>
    </row>
    <row r="241" spans="1:32" ht="12" customHeight="1">
      <c r="A241" s="47" t="s">
        <v>2021</v>
      </c>
      <c r="B241" s="52" t="s">
        <v>6311</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t="s">
        <v>2769</v>
      </c>
      <c r="Q242" s="2953"/>
    </row>
    <row r="243" spans="1:32" ht="12" customHeight="1">
      <c r="B243" s="144" t="s">
        <v>1659</v>
      </c>
      <c r="C243" s="36" t="s">
        <v>3960</v>
      </c>
      <c r="E243" s="42"/>
      <c r="F243" s="42"/>
      <c r="G243" s="783"/>
      <c r="H243" s="783"/>
      <c r="I243" s="42"/>
      <c r="J243" s="783"/>
      <c r="K243" s="42"/>
      <c r="L243" s="783"/>
      <c r="M243" s="783"/>
      <c r="O243" s="65" t="s">
        <v>1659</v>
      </c>
      <c r="P243" s="2668" t="s">
        <v>2769</v>
      </c>
      <c r="Q243" s="2954"/>
    </row>
    <row r="244" spans="1:32" ht="11.25" customHeight="1">
      <c r="B244" s="139" t="s">
        <v>3372</v>
      </c>
      <c r="D244" s="139"/>
      <c r="E244" s="139"/>
      <c r="F244" s="139"/>
      <c r="G244" s="139"/>
      <c r="H244" s="40"/>
      <c r="I244" s="2667"/>
      <c r="J244" s="2667"/>
      <c r="K244" s="2667"/>
      <c r="L244" s="1401"/>
      <c r="M244" s="1401"/>
      <c r="N244" s="1401"/>
      <c r="O244" s="1401"/>
      <c r="P244" s="1401"/>
      <c r="Q244" s="782"/>
    </row>
    <row r="245" spans="1:32" ht="12" customHeight="1">
      <c r="A245" s="3958" t="s">
        <v>6999</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2605</v>
      </c>
      <c r="B248" s="2647" t="s">
        <v>6336</v>
      </c>
      <c r="C248" s="40"/>
      <c r="D248" s="2653"/>
      <c r="E248" s="2653"/>
      <c r="F248" s="2653"/>
      <c r="G248" s="2653"/>
      <c r="H248" s="2653"/>
      <c r="I248" s="2653"/>
      <c r="J248" s="2653"/>
      <c r="K248" s="1409" t="s">
        <v>431</v>
      </c>
      <c r="L248" s="1409" t="str">
        <f>'Part I-Project Information'!$N$40</f>
        <v>Yes</v>
      </c>
      <c r="M248" s="2653"/>
      <c r="O248" s="130" t="s">
        <v>1781</v>
      </c>
      <c r="P248" s="3961"/>
      <c r="Q248" s="3962"/>
    </row>
    <row r="249" spans="1:32" ht="11.25" customHeight="1">
      <c r="A249" s="140" t="s">
        <v>1893</v>
      </c>
      <c r="B249" s="138" t="s">
        <v>6339</v>
      </c>
    </row>
    <row r="250" spans="1:32" ht="10.5" customHeight="1">
      <c r="A250" s="140"/>
      <c r="B250" s="52" t="s">
        <v>6341</v>
      </c>
      <c r="C250" s="42"/>
      <c r="D250" s="42"/>
      <c r="E250" s="42"/>
      <c r="F250" s="42"/>
      <c r="G250" s="42"/>
      <c r="H250" s="42"/>
      <c r="I250" s="42"/>
      <c r="J250" s="2643" t="s">
        <v>6340</v>
      </c>
      <c r="K250" s="52" t="s">
        <v>6341</v>
      </c>
      <c r="L250" s="42"/>
      <c r="M250" s="42"/>
      <c r="N250" s="42"/>
      <c r="O250" s="42"/>
      <c r="P250" s="42"/>
      <c r="Q250" s="2643" t="s">
        <v>6340</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6"/>
      <c r="Q259" s="2958"/>
    </row>
    <row r="260" spans="1:32" s="403" customFormat="1" ht="23.25" customHeight="1">
      <c r="A260" s="140" t="s">
        <v>719</v>
      </c>
      <c r="B260" s="3963" t="s">
        <v>6338</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65"/>
      <c r="Q261" s="2962"/>
      <c r="AE261" s="444"/>
      <c r="AF261" s="444"/>
    </row>
    <row r="262" spans="1:32" ht="11.25" customHeight="1">
      <c r="B262" s="139" t="s">
        <v>3372</v>
      </c>
      <c r="D262" s="139"/>
      <c r="E262" s="139"/>
      <c r="F262" s="139"/>
      <c r="G262" s="139"/>
      <c r="H262" s="40"/>
      <c r="I262" s="2667"/>
      <c r="J262" s="2667"/>
      <c r="K262" s="2667"/>
      <c r="L262" s="1401"/>
      <c r="M262" s="1401"/>
      <c r="N262" s="1401"/>
      <c r="O262" s="1401"/>
      <c r="P262" s="1401"/>
      <c r="Q262" s="782"/>
    </row>
    <row r="263" spans="1:32" ht="12" customHeight="1">
      <c r="A263" s="3958" t="s">
        <v>931</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2149</v>
      </c>
      <c r="B267" s="4" t="s">
        <v>4151</v>
      </c>
      <c r="C267" s="4"/>
      <c r="D267" s="86"/>
      <c r="E267" s="86"/>
      <c r="F267" s="86"/>
      <c r="G267" s="86"/>
      <c r="H267" s="2653"/>
      <c r="I267" s="2653"/>
      <c r="J267" s="2653"/>
      <c r="K267" s="2653"/>
      <c r="L267" s="1343"/>
      <c r="M267" s="1344"/>
      <c r="O267" s="130" t="s">
        <v>1781</v>
      </c>
      <c r="P267" s="3961"/>
      <c r="Q267" s="3962"/>
    </row>
    <row r="268" spans="1:32" s="27" customFormat="1" ht="12" customHeight="1">
      <c r="B268" s="55" t="s">
        <v>6451</v>
      </c>
      <c r="N268" s="119"/>
      <c r="P268" s="2489" t="s">
        <v>2772</v>
      </c>
      <c r="Q268" s="2966"/>
      <c r="AE268" s="115"/>
      <c r="AF268" s="115"/>
    </row>
    <row r="269" spans="1:32" ht="11.45" customHeight="1">
      <c r="A269" s="47" t="s">
        <v>1893</v>
      </c>
      <c r="B269" s="52" t="s">
        <v>1220</v>
      </c>
      <c r="D269" s="42"/>
      <c r="E269" s="52"/>
      <c r="F269" s="52"/>
      <c r="J269" s="439" t="s">
        <v>1893</v>
      </c>
      <c r="K269" s="4015" t="s">
        <v>3551</v>
      </c>
      <c r="L269" s="4016"/>
      <c r="M269" s="4016"/>
      <c r="N269" s="4016"/>
      <c r="O269" s="4017"/>
      <c r="P269" s="4153" t="s">
        <v>1691</v>
      </c>
      <c r="Q269" s="4154"/>
    </row>
    <row r="270" spans="1:32" s="27" customFormat="1" ht="34.5" customHeight="1">
      <c r="B270" s="3950" t="s">
        <v>6452</v>
      </c>
      <c r="C270" s="3950"/>
      <c r="D270" s="3950"/>
      <c r="E270" s="3950"/>
      <c r="F270" s="3950"/>
      <c r="G270" s="3950"/>
      <c r="H270" s="3950"/>
      <c r="I270" s="3950"/>
      <c r="J270" s="3950"/>
      <c r="K270" s="3950"/>
      <c r="L270" s="3950"/>
      <c r="M270" s="3950"/>
      <c r="N270" s="3950"/>
      <c r="O270" s="3976"/>
      <c r="P270" s="2506" t="s">
        <v>2769</v>
      </c>
      <c r="Q270" s="2971"/>
      <c r="AE270" s="115"/>
      <c r="AF270" s="115"/>
    </row>
    <row r="271" spans="1:32" ht="12" customHeight="1">
      <c r="A271" s="47" t="s">
        <v>1895</v>
      </c>
      <c r="B271" s="52" t="s">
        <v>2617</v>
      </c>
      <c r="D271" s="52"/>
      <c r="E271" s="52"/>
      <c r="F271" s="52"/>
      <c r="J271" s="439" t="s">
        <v>1895</v>
      </c>
      <c r="K271" s="4129">
        <v>44222</v>
      </c>
      <c r="L271" s="4130"/>
      <c r="M271" s="4130"/>
      <c r="N271" s="4130"/>
      <c r="O271" s="4131"/>
      <c r="P271" s="4125"/>
      <c r="Q271" s="4126"/>
    </row>
    <row r="272" spans="1:32" s="146" customFormat="1" ht="12" customHeight="1">
      <c r="A272" s="47"/>
      <c r="B272" s="2653" t="s">
        <v>1658</v>
      </c>
      <c r="C272" s="52" t="s">
        <v>1856</v>
      </c>
      <c r="D272" s="52"/>
      <c r="E272" s="52"/>
      <c r="F272" s="52"/>
      <c r="J272" s="65" t="s">
        <v>1658</v>
      </c>
      <c r="K272" s="3964" t="s">
        <v>6980</v>
      </c>
      <c r="L272" s="3965"/>
      <c r="M272" s="3965"/>
      <c r="N272" s="3965"/>
      <c r="O272" s="3966"/>
      <c r="P272" s="4127"/>
      <c r="Q272" s="4128"/>
      <c r="AE272" s="443"/>
      <c r="AF272" s="443"/>
    </row>
    <row r="273" spans="1:32" s="146" customFormat="1" ht="12" customHeight="1">
      <c r="A273" s="47"/>
      <c r="B273" s="2653" t="s">
        <v>1659</v>
      </c>
      <c r="C273" s="52" t="s">
        <v>6453</v>
      </c>
      <c r="D273" s="52"/>
      <c r="E273" s="52"/>
      <c r="F273" s="52"/>
      <c r="G273" s="52"/>
      <c r="H273" s="52"/>
      <c r="I273" s="93"/>
      <c r="J273" s="93"/>
      <c r="M273" s="36"/>
      <c r="N273" s="896"/>
      <c r="O273" s="65" t="s">
        <v>1659</v>
      </c>
      <c r="P273" s="2500" t="s">
        <v>2769</v>
      </c>
      <c r="Q273" s="2964"/>
      <c r="AE273" s="443"/>
      <c r="AF273" s="443"/>
    </row>
    <row r="274" spans="1:32" s="146" customFormat="1" ht="34.5" customHeight="1">
      <c r="A274" s="47"/>
      <c r="B274" s="2653" t="s">
        <v>1660</v>
      </c>
      <c r="C274" s="3963" t="s">
        <v>6463</v>
      </c>
      <c r="D274" s="3963"/>
      <c r="E274" s="3963"/>
      <c r="F274" s="3963"/>
      <c r="G274" s="3963"/>
      <c r="H274" s="3963"/>
      <c r="I274" s="3963"/>
      <c r="J274" s="3963"/>
      <c r="K274" s="3963"/>
      <c r="L274" s="3963"/>
      <c r="M274" s="3963"/>
      <c r="N274" s="3963"/>
      <c r="O274" s="147" t="s">
        <v>1660</v>
      </c>
      <c r="P274" s="2655" t="s">
        <v>2769</v>
      </c>
      <c r="Q274" s="2972"/>
      <c r="AE274" s="443"/>
      <c r="AF274" s="443"/>
    </row>
    <row r="275" spans="1:32" s="146" customFormat="1" ht="24" customHeight="1">
      <c r="A275" s="47"/>
      <c r="B275" s="2653" t="s">
        <v>2260</v>
      </c>
      <c r="C275" s="3963" t="s">
        <v>6464</v>
      </c>
      <c r="D275" s="3963"/>
      <c r="E275" s="3963"/>
      <c r="F275" s="3963"/>
      <c r="G275" s="3963"/>
      <c r="H275" s="3963"/>
      <c r="I275" s="3963"/>
      <c r="J275" s="3963"/>
      <c r="K275" s="3963"/>
      <c r="L275" s="3963"/>
      <c r="M275" s="3963"/>
      <c r="N275" s="3963"/>
      <c r="O275" s="159" t="s">
        <v>2260</v>
      </c>
      <c r="P275" s="2665" t="s">
        <v>2769</v>
      </c>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t="s">
        <v>2769</v>
      </c>
      <c r="Q276" s="2952"/>
      <c r="AE276" s="443"/>
      <c r="AF276" s="443"/>
    </row>
    <row r="277" spans="1:32" s="146" customFormat="1" ht="12" customHeight="1">
      <c r="A277" s="47"/>
      <c r="B277" s="3963" t="s">
        <v>3377</v>
      </c>
      <c r="C277" s="3963"/>
      <c r="D277" s="3963"/>
      <c r="E277" s="3963"/>
      <c r="F277" s="3963"/>
      <c r="G277" s="3963"/>
      <c r="H277" s="418" t="s">
        <v>3532</v>
      </c>
      <c r="K277" s="93"/>
      <c r="M277" s="36"/>
      <c r="N277" s="896"/>
      <c r="O277" s="65" t="s">
        <v>1658</v>
      </c>
      <c r="P277" s="2669" t="s">
        <v>2769</v>
      </c>
      <c r="Q277" s="2953"/>
      <c r="AE277" s="443"/>
      <c r="AF277" s="443"/>
    </row>
    <row r="278" spans="1:32" s="146" customFormat="1" ht="12" customHeight="1">
      <c r="A278" s="47"/>
      <c r="B278" s="3963"/>
      <c r="C278" s="3963"/>
      <c r="D278" s="3963"/>
      <c r="E278" s="3963"/>
      <c r="F278" s="3963"/>
      <c r="G278" s="3963"/>
      <c r="H278" s="55" t="s">
        <v>3533</v>
      </c>
      <c r="K278" s="93"/>
      <c r="M278" s="36"/>
      <c r="N278" s="896"/>
      <c r="O278" s="65" t="s">
        <v>1659</v>
      </c>
      <c r="P278" s="2669" t="s">
        <v>2769</v>
      </c>
      <c r="Q278" s="2953"/>
      <c r="AE278" s="443"/>
      <c r="AF278" s="443"/>
    </row>
    <row r="279" spans="1:32" s="146" customFormat="1" ht="12" customHeight="1">
      <c r="A279" s="47"/>
      <c r="B279" s="52"/>
      <c r="D279" s="52"/>
      <c r="E279" s="52"/>
      <c r="F279" s="52"/>
      <c r="G279" s="52"/>
      <c r="H279" s="55" t="s">
        <v>3534</v>
      </c>
      <c r="K279" s="93"/>
      <c r="M279" s="36"/>
      <c r="N279" s="896"/>
      <c r="O279" s="65" t="s">
        <v>1660</v>
      </c>
      <c r="P279" s="2669" t="s">
        <v>2769</v>
      </c>
      <c r="Q279" s="2953"/>
      <c r="AE279" s="443"/>
      <c r="AF279" s="443"/>
    </row>
    <row r="280" spans="1:32" s="146" customFormat="1" ht="12" customHeight="1">
      <c r="A280" s="47"/>
      <c r="B280" s="52"/>
      <c r="D280" s="52"/>
      <c r="E280" s="52"/>
      <c r="F280" s="52"/>
      <c r="G280" s="52"/>
      <c r="H280" s="55" t="s">
        <v>3535</v>
      </c>
      <c r="K280" s="93"/>
      <c r="M280" s="36"/>
      <c r="N280" s="896"/>
      <c r="O280" s="439" t="s">
        <v>2260</v>
      </c>
      <c r="P280" s="2669" t="s">
        <v>2769</v>
      </c>
      <c r="Q280" s="2953"/>
      <c r="AE280" s="443"/>
      <c r="AF280" s="443"/>
    </row>
    <row r="281" spans="1:32" s="146" customFormat="1" ht="23.25" customHeight="1">
      <c r="B281" s="784" t="s">
        <v>6822</v>
      </c>
      <c r="C281" s="3963" t="s">
        <v>6821</v>
      </c>
      <c r="D281" s="3963"/>
      <c r="E281" s="3963"/>
      <c r="F281" s="3963"/>
      <c r="G281" s="3963"/>
      <c r="H281" s="3963"/>
      <c r="I281" s="3963"/>
      <c r="J281" s="3963"/>
      <c r="K281" s="3963"/>
      <c r="L281" s="3963"/>
      <c r="M281" s="3963"/>
      <c r="N281" s="3963"/>
      <c r="O281" s="159" t="s">
        <v>1487</v>
      </c>
      <c r="P281" s="2665" t="s">
        <v>6924</v>
      </c>
      <c r="Q281" s="2962"/>
      <c r="T281" s="443"/>
      <c r="AE281" s="443"/>
      <c r="AF281" s="443"/>
    </row>
    <row r="282" spans="1:32" ht="12" customHeight="1">
      <c r="B282" s="139" t="s">
        <v>3372</v>
      </c>
      <c r="D282" s="139"/>
      <c r="E282" s="139"/>
      <c r="F282" s="139"/>
      <c r="G282" s="139"/>
      <c r="H282" s="40"/>
      <c r="I282" s="2667"/>
      <c r="J282" s="2667"/>
      <c r="K282" s="2667"/>
      <c r="L282" s="1401"/>
      <c r="M282" s="1401"/>
      <c r="N282" s="1401"/>
      <c r="O282" s="1401"/>
      <c r="P282" s="1401"/>
      <c r="Q282" s="782"/>
    </row>
    <row r="283" spans="1:32" ht="42" customHeight="1">
      <c r="A283" s="3958" t="s">
        <v>7006</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3520</v>
      </c>
      <c r="B287" s="4" t="s">
        <v>2520</v>
      </c>
      <c r="C287" s="4"/>
      <c r="D287" s="86"/>
      <c r="E287" s="86"/>
      <c r="F287" s="86"/>
      <c r="G287" s="86"/>
      <c r="H287" s="2653"/>
      <c r="I287" s="2653"/>
      <c r="J287" s="2653"/>
      <c r="K287" s="2653"/>
      <c r="L287" s="2653"/>
      <c r="M287" s="2653"/>
      <c r="O287" s="130" t="s">
        <v>1781</v>
      </c>
      <c r="P287" s="3961"/>
      <c r="Q287" s="3962"/>
    </row>
    <row r="288" spans="1:32" s="403" customFormat="1" ht="21.75" customHeight="1">
      <c r="A288" s="140" t="s">
        <v>1893</v>
      </c>
      <c r="B288" s="2653" t="s">
        <v>1658</v>
      </c>
      <c r="C288" s="3963" t="s">
        <v>4233</v>
      </c>
      <c r="D288" s="3963"/>
      <c r="E288" s="3963"/>
      <c r="F288" s="3963"/>
      <c r="G288" s="3963"/>
      <c r="H288" s="3963"/>
      <c r="I288" s="3963"/>
      <c r="J288" s="3963"/>
      <c r="K288" s="3963"/>
      <c r="L288" s="3963"/>
      <c r="M288" s="3963"/>
      <c r="N288" s="3963"/>
      <c r="O288" s="1490" t="s">
        <v>1427</v>
      </c>
      <c r="P288" s="2502" t="s">
        <v>2769</v>
      </c>
      <c r="Q288" s="2967"/>
      <c r="AE288" s="444"/>
      <c r="AF288" s="444"/>
    </row>
    <row r="289" spans="1:32" s="146" customFormat="1" ht="11.45" customHeight="1">
      <c r="A289" s="47"/>
      <c r="B289" s="2653" t="s">
        <v>1659</v>
      </c>
      <c r="C289" s="52" t="s">
        <v>3374</v>
      </c>
      <c r="D289" s="52"/>
      <c r="E289" s="52"/>
      <c r="F289" s="52"/>
      <c r="G289" s="52"/>
      <c r="H289" s="52"/>
      <c r="I289" s="52"/>
      <c r="J289" s="52"/>
      <c r="K289" s="52"/>
      <c r="L289" s="52"/>
      <c r="M289" s="52"/>
      <c r="O289" s="1490" t="s">
        <v>1659</v>
      </c>
      <c r="P289" s="2668" t="s">
        <v>2769</v>
      </c>
      <c r="Q289" s="2954"/>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68" t="s">
        <v>2769</v>
      </c>
      <c r="Q290" s="2954"/>
      <c r="AE290" s="443"/>
      <c r="AF290" s="443"/>
    </row>
    <row r="291" spans="1:32" s="403" customFormat="1" ht="23.25" customHeight="1">
      <c r="A291" s="140" t="s">
        <v>719</v>
      </c>
      <c r="B291" s="2653" t="s">
        <v>1658</v>
      </c>
      <c r="C291" s="3963" t="s">
        <v>4260</v>
      </c>
      <c r="D291" s="3963"/>
      <c r="E291" s="3963"/>
      <c r="F291" s="3963"/>
      <c r="G291" s="3963"/>
      <c r="H291" s="3963"/>
      <c r="I291" s="3963"/>
      <c r="J291" s="3963"/>
      <c r="K291" s="3963"/>
      <c r="L291" s="3963"/>
      <c r="M291" s="3963"/>
      <c r="N291" s="3963"/>
      <c r="O291" s="1490" t="s">
        <v>4261</v>
      </c>
      <c r="P291" s="2502" t="s">
        <v>2769</v>
      </c>
      <c r="Q291" s="2967"/>
      <c r="AE291" s="444"/>
      <c r="AF291" s="444"/>
    </row>
    <row r="292" spans="1:32" s="146" customFormat="1" ht="11.45" customHeight="1">
      <c r="A292" s="47"/>
      <c r="B292" s="2653" t="s">
        <v>1659</v>
      </c>
      <c r="C292" s="52" t="s">
        <v>3376</v>
      </c>
      <c r="D292" s="52"/>
      <c r="E292" s="52"/>
      <c r="F292" s="52"/>
      <c r="G292" s="52"/>
      <c r="H292" s="52"/>
      <c r="I292" s="52"/>
      <c r="J292" s="52"/>
      <c r="K292" s="52"/>
      <c r="L292" s="52"/>
      <c r="M292" s="52"/>
      <c r="O292" s="1490" t="s">
        <v>1659</v>
      </c>
      <c r="P292" s="2668" t="s">
        <v>2769</v>
      </c>
      <c r="Q292" s="2954"/>
      <c r="AE292" s="443"/>
      <c r="AF292" s="443"/>
    </row>
    <row r="293" spans="1:32" s="146" customFormat="1" ht="22.5" customHeight="1">
      <c r="A293" s="140" t="s">
        <v>2021</v>
      </c>
      <c r="B293" s="3963" t="s">
        <v>6343</v>
      </c>
      <c r="C293" s="3963"/>
      <c r="D293" s="3963"/>
      <c r="E293" s="3963"/>
      <c r="F293" s="3963"/>
      <c r="G293" s="3963"/>
      <c r="H293" s="3963"/>
      <c r="I293" s="3963"/>
      <c r="J293" s="3963"/>
      <c r="K293" s="3963"/>
      <c r="L293" s="3963"/>
      <c r="M293" s="3963"/>
      <c r="N293" s="3963"/>
      <c r="O293" s="159" t="s">
        <v>2021</v>
      </c>
      <c r="P293" s="2665" t="s">
        <v>2769</v>
      </c>
      <c r="Q293" s="2962"/>
      <c r="AE293" s="443"/>
      <c r="AF293" s="443"/>
    </row>
    <row r="294" spans="1:32" ht="11.25" customHeight="1">
      <c r="B294" s="139" t="s">
        <v>3372</v>
      </c>
      <c r="D294" s="139"/>
      <c r="E294" s="139"/>
      <c r="F294" s="139"/>
      <c r="G294" s="139"/>
      <c r="H294" s="40"/>
      <c r="I294" s="2667"/>
      <c r="J294" s="2667"/>
      <c r="K294" s="2667"/>
      <c r="L294" s="1401"/>
      <c r="M294" s="1401"/>
      <c r="N294" s="1401"/>
      <c r="O294" s="1401"/>
      <c r="P294" s="1401"/>
      <c r="Q294" s="782"/>
    </row>
    <row r="295" spans="1:32" ht="29.25" customHeight="1">
      <c r="A295" s="3958" t="s">
        <v>7000</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3521</v>
      </c>
      <c r="B299" s="2647" t="s">
        <v>2521</v>
      </c>
      <c r="C299" s="2647"/>
      <c r="D299" s="2653"/>
      <c r="E299" s="2653"/>
      <c r="F299" s="2653"/>
      <c r="G299" s="2653"/>
      <c r="H299" s="2653"/>
      <c r="I299" s="2653"/>
      <c r="J299" s="2653"/>
      <c r="K299" s="2653"/>
      <c r="L299" s="2653"/>
      <c r="M299" s="2653"/>
      <c r="O299" s="130" t="s">
        <v>1781</v>
      </c>
      <c r="P299" s="3961"/>
      <c r="Q299" s="3962"/>
    </row>
    <row r="300" spans="1:32" s="27" customFormat="1" ht="11.45" customHeight="1">
      <c r="B300" s="55" t="s">
        <v>6451</v>
      </c>
      <c r="N300" s="119"/>
      <c r="P300" s="2489" t="s">
        <v>2772</v>
      </c>
      <c r="Q300" s="2966"/>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63" t="s">
        <v>4027</v>
      </c>
      <c r="D302" s="3963"/>
      <c r="E302" s="3963"/>
      <c r="F302" s="3963"/>
      <c r="G302" s="3963"/>
      <c r="H302" s="3963"/>
      <c r="I302" s="3963"/>
      <c r="J302" s="3963"/>
      <c r="K302" s="3963"/>
      <c r="L302" s="3963"/>
      <c r="M302" s="3963"/>
      <c r="N302" s="3963"/>
      <c r="O302" s="1490" t="s">
        <v>1658</v>
      </c>
      <c r="P302" s="2502" t="s">
        <v>6924</v>
      </c>
      <c r="Q302" s="2967"/>
      <c r="AE302" s="444"/>
      <c r="AF302" s="444"/>
    </row>
    <row r="303" spans="1:32" s="403" customFormat="1" ht="21.75" customHeight="1">
      <c r="A303" s="140"/>
      <c r="B303" s="784" t="s">
        <v>1659</v>
      </c>
      <c r="C303" s="3963" t="s">
        <v>2618</v>
      </c>
      <c r="D303" s="3963"/>
      <c r="E303" s="3963"/>
      <c r="F303" s="3963"/>
      <c r="G303" s="3963"/>
      <c r="H303" s="3963"/>
      <c r="I303" s="3963"/>
      <c r="J303" s="3963"/>
      <c r="K303" s="3963"/>
      <c r="L303" s="3963"/>
      <c r="M303" s="3963"/>
      <c r="N303" s="3963"/>
      <c r="O303" s="1490" t="s">
        <v>1659</v>
      </c>
      <c r="P303" s="2665" t="s">
        <v>6924</v>
      </c>
      <c r="Q303" s="2962"/>
      <c r="AE303" s="444"/>
      <c r="AF303" s="444"/>
    </row>
    <row r="304" spans="1:32" s="27" customFormat="1" ht="12.75" customHeight="1">
      <c r="A304" s="137" t="s">
        <v>1895</v>
      </c>
      <c r="B304" s="175" t="s">
        <v>299</v>
      </c>
      <c r="C304" s="157"/>
      <c r="D304" s="522"/>
      <c r="E304" s="522"/>
      <c r="F304" s="157"/>
      <c r="J304" s="439" t="s">
        <v>1895</v>
      </c>
      <c r="K304" s="4101" t="s">
        <v>3483</v>
      </c>
      <c r="L304" s="4102"/>
      <c r="M304" s="4102"/>
      <c r="N304" s="4102"/>
      <c r="O304" s="4102"/>
      <c r="P304" s="4103"/>
      <c r="Q304" s="2973"/>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6924</v>
      </c>
      <c r="Q306" s="2973"/>
      <c r="R306" s="439"/>
    </row>
    <row r="307" spans="1:32" s="101" customFormat="1" ht="11.45" customHeight="1">
      <c r="A307" s="42"/>
      <c r="B307" s="139" t="s">
        <v>3372</v>
      </c>
      <c r="C307" s="42"/>
      <c r="D307" s="48"/>
      <c r="E307" s="48"/>
      <c r="F307" s="48"/>
      <c r="G307" s="48"/>
      <c r="K307" s="36"/>
      <c r="M307" s="46"/>
      <c r="N307" s="6"/>
      <c r="O307" s="3"/>
      <c r="P307" s="2650"/>
    </row>
    <row r="308" spans="1:32" s="43" customFormat="1" ht="38.25" customHeight="1">
      <c r="A308" s="3958" t="s">
        <v>7007</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3519</v>
      </c>
      <c r="B312" s="2647" t="s">
        <v>2522</v>
      </c>
      <c r="C312" s="2649"/>
      <c r="D312" s="2663"/>
      <c r="E312" s="2653"/>
      <c r="F312" s="2653"/>
      <c r="G312" s="2653"/>
      <c r="H312" s="2653"/>
      <c r="I312" s="2653"/>
      <c r="J312" s="2653"/>
      <c r="K312" s="2653"/>
      <c r="L312" s="2653"/>
      <c r="M312" s="2653"/>
      <c r="O312" s="130" t="s">
        <v>1781</v>
      </c>
      <c r="P312" s="3961"/>
      <c r="Q312" s="3962"/>
    </row>
    <row r="313" spans="1:32" s="27" customFormat="1" ht="11.45" customHeight="1">
      <c r="B313" s="55" t="s">
        <v>6451</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3963" t="s">
        <v>3452</v>
      </c>
      <c r="D315" s="3963"/>
      <c r="E315" s="3963"/>
      <c r="F315" s="3963"/>
      <c r="G315" s="3963"/>
      <c r="H315" s="3963"/>
      <c r="I315" s="3963"/>
      <c r="J315" s="3963"/>
      <c r="K315" s="3963"/>
      <c r="L315" s="3963"/>
      <c r="M315" s="3963"/>
      <c r="N315" s="3963"/>
      <c r="O315" s="159" t="s">
        <v>2568</v>
      </c>
      <c r="P315" s="2502" t="s">
        <v>2769</v>
      </c>
      <c r="Q315" s="2967"/>
      <c r="AE315" s="443"/>
      <c r="AF315" s="443"/>
    </row>
    <row r="316" spans="1:32" s="403" customFormat="1" ht="12" customHeight="1">
      <c r="A316" s="140"/>
      <c r="B316" s="1305" t="s">
        <v>1659</v>
      </c>
      <c r="C316" s="3963" t="s">
        <v>4259</v>
      </c>
      <c r="D316" s="3963"/>
      <c r="E316" s="3963"/>
      <c r="F316" s="3963"/>
      <c r="G316" s="3963"/>
      <c r="H316" s="3963"/>
      <c r="I316" s="3963"/>
      <c r="J316" s="3963"/>
      <c r="K316" s="3963"/>
      <c r="L316" s="3963"/>
      <c r="M316" s="3963"/>
      <c r="N316" s="3963"/>
      <c r="O316" s="147" t="s">
        <v>1659</v>
      </c>
      <c r="P316" s="2664" t="s">
        <v>2769</v>
      </c>
      <c r="Q316" s="2960"/>
      <c r="AE316" s="444"/>
      <c r="AF316" s="444"/>
    </row>
    <row r="317" spans="1:32" s="403" customFormat="1" ht="21.75" customHeight="1">
      <c r="A317" s="140"/>
      <c r="B317" s="451" t="s">
        <v>1660</v>
      </c>
      <c r="C317" s="3963" t="s">
        <v>6458</v>
      </c>
      <c r="D317" s="3963"/>
      <c r="E317" s="3963"/>
      <c r="F317" s="3963"/>
      <c r="G317" s="3963"/>
      <c r="H317" s="3963"/>
      <c r="I317" s="3963"/>
      <c r="J317" s="3963"/>
      <c r="K317" s="3963"/>
      <c r="L317" s="3963"/>
      <c r="M317" s="3963"/>
      <c r="N317" s="3963"/>
      <c r="O317" s="159" t="s">
        <v>1660</v>
      </c>
      <c r="P317" s="2665" t="s">
        <v>2772</v>
      </c>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3" t="s">
        <v>6461</v>
      </c>
      <c r="E319" s="3963"/>
      <c r="F319" s="3963"/>
      <c r="G319" s="3963"/>
      <c r="H319" s="3963"/>
      <c r="I319" s="138"/>
      <c r="J319" s="3951" t="s">
        <v>3400</v>
      </c>
      <c r="K319" s="4132"/>
      <c r="L319" s="4132"/>
      <c r="M319" s="4023" t="s">
        <v>3379</v>
      </c>
      <c r="N319" s="4023"/>
      <c r="AE319" s="445"/>
      <c r="AF319" s="445"/>
    </row>
    <row r="320" spans="1:32" s="289" customFormat="1" ht="10.5" customHeight="1">
      <c r="A320" s="300"/>
      <c r="B320" s="2618"/>
      <c r="D320" s="3963"/>
      <c r="E320" s="3963"/>
      <c r="F320" s="3963"/>
      <c r="G320" s="3963"/>
      <c r="H320" s="3963"/>
      <c r="I320" s="2629"/>
      <c r="J320" s="4132"/>
      <c r="K320" s="4132"/>
      <c r="L320" s="4132"/>
      <c r="M320" s="36" t="s">
        <v>3380</v>
      </c>
      <c r="N320" s="2667" t="s">
        <v>3399</v>
      </c>
      <c r="P320" s="298"/>
    </row>
    <row r="321" spans="1:33" s="289" customFormat="1" ht="13.35" customHeight="1">
      <c r="A321" s="300"/>
      <c r="B321" s="2618"/>
      <c r="D321" s="3963"/>
      <c r="E321" s="3963"/>
      <c r="F321" s="3963"/>
      <c r="G321" s="3963"/>
      <c r="H321" s="3963"/>
      <c r="I321" s="52" t="s">
        <v>3537</v>
      </c>
      <c r="K321" s="2508">
        <v>5</v>
      </c>
      <c r="L321" s="892" t="str">
        <f>IF(K321&lt;M321,"Check!!!","")</f>
        <v/>
      </c>
      <c r="M321" s="1667">
        <f>ROUNDUP('Part VI-Revenues &amp; Expenses'!$P$67*'Part VIII-Threshold Criteria'!N321,0)</f>
        <v>5</v>
      </c>
      <c r="N321" s="1291">
        <f>'DCA Underwriting Assumptions'!$Q$155</f>
        <v>0.05</v>
      </c>
      <c r="O321" s="439" t="s">
        <v>3288</v>
      </c>
      <c r="P321" s="2666"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3" t="s">
        <v>6462</v>
      </c>
      <c r="E322" s="3963"/>
      <c r="F322" s="3963"/>
      <c r="G322" s="3963"/>
      <c r="H322" s="3963"/>
      <c r="I322" s="774" t="s">
        <v>3538</v>
      </c>
      <c r="J322" s="289"/>
      <c r="K322" s="2509">
        <v>2</v>
      </c>
      <c r="L322" s="892" t="str">
        <f>IF(K322&lt;M322,"Check!!!","")</f>
        <v/>
      </c>
      <c r="M322" s="1668">
        <f>ROUNDUP(K321*'Part VIII-Threshold Criteria'!N322,0)</f>
        <v>2</v>
      </c>
      <c r="N322" s="1291">
        <f>'DCA Underwriting Assumptions'!$Q$156</f>
        <v>0.4</v>
      </c>
      <c r="O322" s="439" t="s">
        <v>2023</v>
      </c>
      <c r="P322" s="3998" t="s">
        <v>2769</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3371</v>
      </c>
      <c r="D324" s="3963"/>
      <c r="E324" s="3963"/>
      <c r="F324" s="3963"/>
      <c r="G324" s="3963"/>
      <c r="H324" s="3963"/>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3290</v>
      </c>
      <c r="C328" s="3950"/>
      <c r="D328" s="3950"/>
      <c r="E328" s="3950"/>
      <c r="F328" s="3950"/>
      <c r="G328" s="3950"/>
      <c r="H328" s="3950"/>
      <c r="I328" s="3950"/>
      <c r="J328" s="3950"/>
      <c r="K328" s="3950"/>
      <c r="L328" s="3950"/>
      <c r="M328" s="3950"/>
      <c r="N328" s="3950"/>
      <c r="O328" s="159" t="s">
        <v>719</v>
      </c>
      <c r="P328" s="2507" t="s">
        <v>2769</v>
      </c>
      <c r="Q328" s="2973"/>
      <c r="AE328" s="445"/>
      <c r="AF328" s="445"/>
    </row>
    <row r="329" spans="1:33" s="93" customFormat="1" ht="11.25" customHeight="1">
      <c r="B329" s="382" t="s">
        <v>3291</v>
      </c>
      <c r="D329" s="382"/>
      <c r="E329" s="382"/>
      <c r="F329" s="382"/>
      <c r="G329" s="382"/>
      <c r="H329" s="382"/>
      <c r="I329" s="382" t="s">
        <v>3378</v>
      </c>
      <c r="J329" s="382"/>
      <c r="K329" s="382"/>
      <c r="L329" s="3973" t="s">
        <v>6932</v>
      </c>
      <c r="M329" s="3974"/>
      <c r="N329" s="3974"/>
      <c r="O329" s="3974"/>
      <c r="P329" s="3974"/>
      <c r="Q329" s="3975"/>
      <c r="R329" s="382"/>
      <c r="AE329" s="445"/>
      <c r="AF329" s="445"/>
    </row>
    <row r="330" spans="1:33" s="403" customFormat="1" ht="44.25" customHeight="1">
      <c r="B330" s="1305" t="s">
        <v>1658</v>
      </c>
      <c r="C330" s="3963" t="s">
        <v>3289</v>
      </c>
      <c r="D330" s="3963"/>
      <c r="E330" s="3963"/>
      <c r="F330" s="3963"/>
      <c r="G330" s="3963"/>
      <c r="H330" s="3963"/>
      <c r="I330" s="3963"/>
      <c r="J330" s="3963"/>
      <c r="K330" s="3963"/>
      <c r="L330" s="3963"/>
      <c r="M330" s="3963"/>
      <c r="N330" s="3963"/>
      <c r="O330" s="159" t="s">
        <v>3294</v>
      </c>
      <c r="P330" s="2502" t="s">
        <v>2769</v>
      </c>
      <c r="Q330" s="2967"/>
      <c r="AE330" s="444"/>
      <c r="AF330" s="444"/>
    </row>
    <row r="331" spans="1:33" s="403" customFormat="1" ht="34.5" customHeight="1">
      <c r="B331" s="1305" t="s">
        <v>1659</v>
      </c>
      <c r="C331" s="3963" t="s">
        <v>4008</v>
      </c>
      <c r="D331" s="3963"/>
      <c r="E331" s="3963"/>
      <c r="F331" s="3963"/>
      <c r="G331" s="3963"/>
      <c r="H331" s="3963"/>
      <c r="I331" s="3963"/>
      <c r="J331" s="3963"/>
      <c r="K331" s="3963"/>
      <c r="L331" s="3963"/>
      <c r="M331" s="3963"/>
      <c r="N331" s="3963"/>
      <c r="O331" s="159" t="s">
        <v>3295</v>
      </c>
      <c r="P331" s="2664" t="s">
        <v>2769</v>
      </c>
      <c r="Q331" s="2960"/>
      <c r="AE331" s="444"/>
      <c r="AF331" s="444"/>
    </row>
    <row r="332" spans="1:33" s="403" customFormat="1" ht="22.5" customHeight="1">
      <c r="B332" s="451" t="s">
        <v>1660</v>
      </c>
      <c r="C332" s="3963" t="s">
        <v>3292</v>
      </c>
      <c r="D332" s="3963"/>
      <c r="E332" s="3963"/>
      <c r="F332" s="3963"/>
      <c r="G332" s="3963"/>
      <c r="H332" s="3963"/>
      <c r="I332" s="3963"/>
      <c r="J332" s="3963"/>
      <c r="K332" s="3963"/>
      <c r="L332" s="3963"/>
      <c r="M332" s="3963"/>
      <c r="N332" s="3963"/>
      <c r="O332" s="159" t="s">
        <v>3296</v>
      </c>
      <c r="P332" s="2664" t="s">
        <v>2769</v>
      </c>
      <c r="Q332" s="2960"/>
      <c r="AE332" s="444"/>
      <c r="AF332" s="444"/>
    </row>
    <row r="333" spans="1:33" s="403" customFormat="1" ht="34.5" customHeight="1">
      <c r="B333" s="451" t="s">
        <v>2260</v>
      </c>
      <c r="C333" s="3963" t="s">
        <v>3293</v>
      </c>
      <c r="D333" s="3963"/>
      <c r="E333" s="3963"/>
      <c r="F333" s="3963"/>
      <c r="G333" s="3963"/>
      <c r="H333" s="3963"/>
      <c r="I333" s="3963"/>
      <c r="J333" s="3963"/>
      <c r="K333" s="3963"/>
      <c r="L333" s="3963"/>
      <c r="M333" s="3963"/>
      <c r="N333" s="3963"/>
      <c r="O333" s="159" t="s">
        <v>3297</v>
      </c>
      <c r="P333" s="2665" t="s">
        <v>2769</v>
      </c>
      <c r="Q333" s="2962"/>
      <c r="AE333" s="444"/>
      <c r="AF333" s="444"/>
    </row>
    <row r="334" spans="1:33" ht="11.25" customHeight="1">
      <c r="B334" s="139" t="s">
        <v>3372</v>
      </c>
      <c r="D334" s="139"/>
      <c r="E334" s="139"/>
      <c r="F334" s="139"/>
      <c r="G334" s="139"/>
      <c r="H334" s="40"/>
      <c r="I334" s="2667"/>
      <c r="J334" s="2667"/>
      <c r="K334" s="2667"/>
      <c r="L334" s="1401"/>
      <c r="M334" s="1401"/>
      <c r="N334" s="1401"/>
      <c r="O334" s="1401"/>
      <c r="P334" s="1401"/>
      <c r="Q334" s="782"/>
    </row>
    <row r="335" spans="1:33" ht="32.25" customHeight="1">
      <c r="A335" s="3958" t="s">
        <v>7001</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3522</v>
      </c>
      <c r="B338" s="10" t="s">
        <v>2523</v>
      </c>
      <c r="C338" s="10"/>
      <c r="D338" s="10"/>
      <c r="E338" s="10"/>
      <c r="F338" s="10"/>
      <c r="G338" s="10"/>
      <c r="H338" s="2653"/>
      <c r="I338" s="2653"/>
      <c r="J338" s="2653"/>
      <c r="K338" s="2653"/>
      <c r="L338" s="2653"/>
      <c r="M338" s="2653"/>
      <c r="O338" s="130" t="s">
        <v>1781</v>
      </c>
      <c r="P338" s="4155"/>
      <c r="Q338" s="4156"/>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8" t="s">
        <v>2769</v>
      </c>
      <c r="Q340" s="2954"/>
    </row>
    <row r="341" spans="1:256 1523:1523" s="157" customFormat="1" ht="11.45" customHeight="1">
      <c r="A341" s="2511"/>
      <c r="B341" s="419" t="s">
        <v>3947</v>
      </c>
      <c r="E341" s="419"/>
      <c r="F341" s="419"/>
      <c r="G341" s="419"/>
      <c r="H341" s="419"/>
      <c r="I341" s="522"/>
      <c r="J341" s="378"/>
      <c r="K341" s="4015" t="s">
        <v>6933</v>
      </c>
      <c r="L341" s="4016"/>
      <c r="M341" s="4016"/>
      <c r="N341" s="401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3" t="s">
        <v>2673</v>
      </c>
      <c r="C343" s="3963"/>
      <c r="D343" s="3963"/>
      <c r="E343" s="3963"/>
      <c r="F343" s="3963"/>
      <c r="G343" s="3963"/>
      <c r="H343" s="3963"/>
      <c r="I343" s="3963"/>
      <c r="J343" s="3963"/>
      <c r="K343" s="3963"/>
      <c r="L343" s="3963"/>
      <c r="M343" s="3963"/>
      <c r="N343" s="3963"/>
      <c r="O343" s="159" t="s">
        <v>1893</v>
      </c>
      <c r="P343" s="2506" t="s">
        <v>2769</v>
      </c>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2" t="s">
        <v>6614</v>
      </c>
      <c r="H345" s="4013"/>
      <c r="I345" s="4013"/>
      <c r="J345" s="4013"/>
      <c r="K345" s="4013"/>
      <c r="L345" s="4013"/>
      <c r="M345" s="4013"/>
      <c r="N345" s="4014"/>
      <c r="O345" s="213" t="s">
        <v>1658</v>
      </c>
      <c r="P345" s="2502" t="s">
        <v>2769</v>
      </c>
      <c r="Q345" s="2967"/>
      <c r="BFO345" s="146" t="s">
        <v>2569</v>
      </c>
    </row>
    <row r="346" spans="1:256 1523:1523" ht="23.25" customHeight="1">
      <c r="B346" s="773" t="s">
        <v>1659</v>
      </c>
      <c r="C346" s="3963" t="s">
        <v>1091</v>
      </c>
      <c r="D346" s="3963"/>
      <c r="E346" s="3963"/>
      <c r="F346" s="3976"/>
      <c r="G346" s="3410" t="s">
        <v>3381</v>
      </c>
      <c r="H346" s="3993"/>
      <c r="I346" s="3993"/>
      <c r="J346" s="3993"/>
      <c r="K346" s="3993"/>
      <c r="L346" s="3993"/>
      <c r="M346" s="3993"/>
      <c r="N346" s="3994"/>
      <c r="O346" s="213" t="s">
        <v>1659</v>
      </c>
      <c r="P346" s="2665"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3995" t="s">
        <v>6345</v>
      </c>
      <c r="H348" s="3995"/>
      <c r="I348" s="3995"/>
      <c r="J348" s="3995"/>
      <c r="K348" s="3995"/>
      <c r="L348" s="3995"/>
      <c r="M348" s="3995"/>
      <c r="N348" s="3995"/>
      <c r="O348" s="425"/>
      <c r="P348" s="1401"/>
      <c r="Q348" s="782"/>
      <c r="AE348" s="442"/>
      <c r="AF348" s="442"/>
    </row>
    <row r="349" spans="1:256 1523:1523" s="131" customFormat="1" ht="11.25" customHeight="1">
      <c r="A349" s="142"/>
      <c r="B349" s="213" t="s">
        <v>2324</v>
      </c>
      <c r="C349" s="4133"/>
      <c r="D349" s="4134"/>
      <c r="E349" s="4134"/>
      <c r="F349" s="4134"/>
      <c r="G349" s="4134"/>
      <c r="H349" s="4134"/>
      <c r="I349" s="4134"/>
      <c r="J349" s="4134"/>
      <c r="K349" s="4134"/>
      <c r="L349" s="4134"/>
      <c r="M349" s="4134"/>
      <c r="N349" s="4135"/>
      <c r="O349" s="213" t="s">
        <v>6611</v>
      </c>
      <c r="P349" s="2502" t="s">
        <v>2772</v>
      </c>
      <c r="Q349" s="2967"/>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6612</v>
      </c>
      <c r="P350" s="2665" t="s">
        <v>2772</v>
      </c>
      <c r="Q350" s="2962"/>
      <c r="AE350" s="442"/>
      <c r="AF350" s="442"/>
    </row>
    <row r="351" spans="1:256 1523:1523" ht="22.5" customHeight="1">
      <c r="A351" s="140" t="s">
        <v>2021</v>
      </c>
      <c r="B351" s="3950" t="s">
        <v>6346</v>
      </c>
      <c r="C351" s="3950"/>
      <c r="D351" s="3950"/>
      <c r="E351" s="3950"/>
      <c r="F351" s="3950"/>
      <c r="G351" s="3950"/>
      <c r="H351" s="3950"/>
      <c r="I351" s="3950"/>
      <c r="J351" s="3950"/>
      <c r="K351" s="3950"/>
      <c r="L351" s="3950"/>
      <c r="M351" s="3950"/>
      <c r="N351" s="3950"/>
      <c r="O351" s="159" t="s">
        <v>2021</v>
      </c>
      <c r="P351" s="2665" t="s">
        <v>6924</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7"/>
      <c r="J353" s="2667"/>
      <c r="K353" s="2667"/>
      <c r="L353" s="1401"/>
      <c r="M353" s="1401"/>
      <c r="N353" s="1401"/>
      <c r="O353" s="1401"/>
      <c r="P353" s="1401"/>
      <c r="Q353" s="782"/>
    </row>
    <row r="354" spans="1:31" ht="11.45" customHeight="1">
      <c r="A354" s="3958" t="s">
        <v>6934</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3523</v>
      </c>
      <c r="B357" s="177" t="s">
        <v>3541</v>
      </c>
      <c r="C357" s="2647"/>
      <c r="D357" s="2653"/>
      <c r="E357" s="2653"/>
      <c r="F357" s="2653"/>
      <c r="G357" s="2653"/>
      <c r="H357" s="2653"/>
      <c r="O357" s="130" t="s">
        <v>1781</v>
      </c>
      <c r="P357" s="3961"/>
      <c r="Q357" s="3962"/>
    </row>
    <row r="358" spans="1:31" ht="11.45" customHeight="1">
      <c r="A358" s="47" t="s">
        <v>1893</v>
      </c>
      <c r="B358" s="55" t="s">
        <v>6376</v>
      </c>
      <c r="O358" s="159" t="s">
        <v>1893</v>
      </c>
      <c r="P358" s="2492" t="s">
        <v>2769</v>
      </c>
      <c r="Q358" s="2952"/>
    </row>
    <row r="359" spans="1:31" ht="11.45" customHeight="1">
      <c r="A359" s="140" t="s">
        <v>1895</v>
      </c>
      <c r="B359" s="55" t="s">
        <v>3513</v>
      </c>
      <c r="O359" s="159" t="s">
        <v>1895</v>
      </c>
      <c r="P359" s="2669" t="s">
        <v>2769</v>
      </c>
      <c r="Q359" s="2953"/>
    </row>
    <row r="360" spans="1:31" ht="11.45" customHeight="1">
      <c r="A360" s="140" t="s">
        <v>719</v>
      </c>
      <c r="B360" s="143" t="s">
        <v>2246</v>
      </c>
      <c r="O360" s="159" t="s">
        <v>719</v>
      </c>
      <c r="P360" s="2669" t="s">
        <v>2772</v>
      </c>
      <c r="Q360" s="2953"/>
    </row>
    <row r="361" spans="1:31" ht="11.45" customHeight="1">
      <c r="A361" s="47" t="s">
        <v>2021</v>
      </c>
      <c r="B361" s="55" t="s">
        <v>3415</v>
      </c>
      <c r="O361" s="439" t="s">
        <v>2021</v>
      </c>
      <c r="P361" s="2668" t="s">
        <v>2772</v>
      </c>
      <c r="Q361" s="2954"/>
    </row>
    <row r="362" spans="1:31" ht="11.45" customHeight="1">
      <c r="A362" s="140" t="s">
        <v>1656</v>
      </c>
      <c r="B362" s="55" t="s">
        <v>2674</v>
      </c>
      <c r="N362" s="159" t="s">
        <v>1656</v>
      </c>
      <c r="O362" s="4009" t="s">
        <v>4255</v>
      </c>
      <c r="P362" s="4010"/>
      <c r="Q362" s="4011"/>
    </row>
    <row r="363" spans="1:31" ht="11.45" customHeight="1">
      <c r="A363" s="140" t="s">
        <v>1657</v>
      </c>
      <c r="B363" s="399" t="s">
        <v>2247</v>
      </c>
      <c r="N363" s="159" t="s">
        <v>1657</v>
      </c>
      <c r="O363" s="4157" t="s">
        <v>2675</v>
      </c>
      <c r="P363" s="4158"/>
      <c r="Q363" s="4159"/>
    </row>
    <row r="364" spans="1:31" ht="11.25" customHeight="1">
      <c r="B364" s="139" t="s">
        <v>3372</v>
      </c>
      <c r="D364" s="139"/>
      <c r="E364" s="139"/>
      <c r="F364" s="139"/>
      <c r="G364" s="139"/>
      <c r="H364" s="40"/>
      <c r="I364" s="2667"/>
      <c r="J364" s="2667"/>
      <c r="K364" s="2667"/>
      <c r="L364" s="1401"/>
      <c r="M364" s="1401"/>
      <c r="N364" s="1401"/>
      <c r="O364" s="1401"/>
      <c r="P364" s="1401"/>
      <c r="Q364" s="782"/>
    </row>
    <row r="365" spans="1:31" ht="13.35" customHeight="1">
      <c r="A365" s="3958" t="s">
        <v>7002</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3526</v>
      </c>
      <c r="B369" s="4" t="s">
        <v>6347</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6350</v>
      </c>
      <c r="C370" s="4006"/>
      <c r="D370" s="4006"/>
      <c r="E370" s="4006"/>
      <c r="F370" s="4006"/>
      <c r="G370" s="4006"/>
      <c r="H370" s="4006"/>
      <c r="I370" s="4006"/>
      <c r="J370" s="4006"/>
      <c r="K370" s="4006"/>
      <c r="L370" s="4006"/>
      <c r="M370" s="4006"/>
      <c r="N370" s="4006"/>
      <c r="O370" s="159" t="s">
        <v>1893</v>
      </c>
      <c r="P370" s="2507"/>
      <c r="Q370" s="2973"/>
    </row>
    <row r="371" spans="1:32" s="146" customFormat="1">
      <c r="A371" s="140"/>
      <c r="B371" s="1305"/>
      <c r="C371" s="52" t="s">
        <v>1712</v>
      </c>
      <c r="D371" s="52"/>
      <c r="E371" s="1610">
        <f>'Part VI-Revenues &amp; Expenses'!$P$67</f>
        <v>89</v>
      </c>
      <c r="F371" s="52" t="s">
        <v>4078</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3" t="s">
        <v>6348</v>
      </c>
      <c r="C372" s="3963"/>
      <c r="D372" s="3963"/>
      <c r="E372" s="3963"/>
      <c r="F372" s="3963"/>
      <c r="G372" s="3963"/>
      <c r="H372" s="3963"/>
      <c r="I372" s="3963"/>
      <c r="J372" s="3963"/>
      <c r="K372" s="3963"/>
      <c r="L372" s="3963"/>
      <c r="M372" s="3963"/>
      <c r="N372" s="3963"/>
      <c r="O372" s="159" t="s">
        <v>1895</v>
      </c>
      <c r="P372" s="2507"/>
      <c r="Q372" s="2973"/>
    </row>
    <row r="373" spans="1:32" ht="12.75" customHeight="1">
      <c r="A373" s="140"/>
      <c r="C373" s="52" t="s">
        <v>6349</v>
      </c>
      <c r="D373" s="52"/>
      <c r="E373" s="52"/>
      <c r="F373" s="52"/>
      <c r="G373" s="52"/>
      <c r="H373" s="52"/>
      <c r="I373" s="52"/>
      <c r="J373" s="52"/>
      <c r="M373" s="4007"/>
      <c r="N373" s="4008"/>
      <c r="O373" s="68"/>
      <c r="P373" s="68"/>
      <c r="Q373" s="68"/>
    </row>
    <row r="374" spans="1:32" ht="10.5" customHeight="1">
      <c r="B374" s="139" t="s">
        <v>3372</v>
      </c>
      <c r="D374" s="139"/>
      <c r="E374" s="139"/>
      <c r="F374" s="139"/>
      <c r="G374" s="139"/>
      <c r="H374" s="40"/>
      <c r="I374" s="2667"/>
      <c r="J374" s="2667"/>
      <c r="K374" s="2667"/>
      <c r="L374" s="1401"/>
      <c r="M374" s="1401"/>
      <c r="N374" s="1401"/>
      <c r="O374" s="1401"/>
      <c r="P374" s="1401"/>
      <c r="Q374" s="782"/>
    </row>
    <row r="375" spans="1:32" ht="12" customHeight="1">
      <c r="A375" s="3958" t="s">
        <v>6935</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3527</v>
      </c>
      <c r="B379" s="4" t="s">
        <v>3505</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005"/>
      <c r="Q379" s="3962"/>
    </row>
    <row r="380" spans="1:32" ht="10.5" customHeight="1">
      <c r="A380" s="47" t="s">
        <v>1893</v>
      </c>
      <c r="B380" s="133" t="s">
        <v>3506</v>
      </c>
      <c r="D380" s="148"/>
      <c r="E380" s="148"/>
      <c r="F380" s="148"/>
      <c r="G380" s="148"/>
      <c r="H380" s="439" t="s">
        <v>1893</v>
      </c>
      <c r="I380" s="4025"/>
      <c r="J380" s="4026"/>
      <c r="K380" s="4026"/>
      <c r="L380" s="4026"/>
      <c r="M380" s="4026"/>
      <c r="N380" s="4026"/>
      <c r="O380" s="4026"/>
      <c r="P380" s="4027"/>
      <c r="Q380" s="2952"/>
    </row>
    <row r="381" spans="1:32" ht="10.5" customHeight="1">
      <c r="A381" s="140" t="s">
        <v>1895</v>
      </c>
      <c r="B381" s="133" t="s">
        <v>3507</v>
      </c>
      <c r="D381" s="148"/>
      <c r="E381" s="148"/>
      <c r="F381" s="148"/>
      <c r="G381" s="148"/>
      <c r="H381" s="159" t="s">
        <v>1895</v>
      </c>
      <c r="I381" s="3964"/>
      <c r="J381" s="3965"/>
      <c r="K381" s="3965"/>
      <c r="L381" s="3965"/>
      <c r="M381" s="3965"/>
      <c r="N381" s="3965"/>
      <c r="O381" s="3965"/>
      <c r="P381" s="3966"/>
      <c r="Q381" s="2954"/>
    </row>
    <row r="382" spans="1:32" ht="21.75" customHeight="1">
      <c r="A382" s="140" t="s">
        <v>719</v>
      </c>
      <c r="B382" s="4006" t="s">
        <v>3498</v>
      </c>
      <c r="C382" s="4006"/>
      <c r="D382" s="4006"/>
      <c r="E382" s="4006"/>
      <c r="F382" s="4006"/>
      <c r="G382" s="4006"/>
      <c r="H382" s="4006"/>
      <c r="I382" s="4006"/>
      <c r="J382" s="4006"/>
      <c r="K382" s="4006"/>
      <c r="L382" s="4006"/>
      <c r="M382" s="4006"/>
      <c r="N382" s="4006"/>
      <c r="O382" s="159" t="s">
        <v>719</v>
      </c>
      <c r="P382" s="2655"/>
      <c r="Q382" s="2967"/>
    </row>
    <row r="383" spans="1:32" ht="21.75" customHeight="1">
      <c r="A383" s="140" t="s">
        <v>2021</v>
      </c>
      <c r="B383" s="3963" t="s">
        <v>3499</v>
      </c>
      <c r="C383" s="3963"/>
      <c r="D383" s="3963"/>
      <c r="E383" s="3963"/>
      <c r="F383" s="3963"/>
      <c r="G383" s="3963"/>
      <c r="H383" s="3963"/>
      <c r="I383" s="3963"/>
      <c r="J383" s="3963"/>
      <c r="K383" s="3963"/>
      <c r="L383" s="3963"/>
      <c r="M383" s="3963"/>
      <c r="N383" s="3963"/>
      <c r="O383" s="159" t="s">
        <v>2021</v>
      </c>
      <c r="P383" s="2664"/>
      <c r="Q383" s="2960"/>
    </row>
    <row r="384" spans="1:32" ht="10.5" customHeight="1">
      <c r="A384" s="140" t="s">
        <v>1656</v>
      </c>
      <c r="B384" s="52" t="s">
        <v>3500</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3501</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4052</v>
      </c>
      <c r="E387" s="2653"/>
      <c r="F387" s="2653"/>
      <c r="G387" s="2653"/>
      <c r="H387" s="2653"/>
      <c r="I387" s="2653"/>
      <c r="J387" s="2653"/>
      <c r="K387" s="2653"/>
      <c r="L387" s="2653"/>
      <c r="M387" s="2653"/>
      <c r="N387" s="2653"/>
      <c r="P387" s="2665"/>
      <c r="Q387" s="2962"/>
      <c r="AE387" s="442"/>
      <c r="AF387" s="442"/>
    </row>
    <row r="388" spans="1:32" ht="21.75" customHeight="1">
      <c r="A388" s="140" t="s">
        <v>3124</v>
      </c>
      <c r="B388" s="3963" t="s">
        <v>3503</v>
      </c>
      <c r="C388" s="3963"/>
      <c r="D388" s="3963"/>
      <c r="E388" s="3963"/>
      <c r="F388" s="3963"/>
      <c r="G388" s="3963"/>
      <c r="H388" s="3963"/>
      <c r="I388" s="3963"/>
      <c r="J388" s="3963"/>
      <c r="K388" s="3963"/>
      <c r="L388" s="3963"/>
      <c r="M388" s="3963"/>
      <c r="N388" s="3963"/>
      <c r="O388" s="159" t="s">
        <v>3124</v>
      </c>
      <c r="P388" s="2502"/>
      <c r="Q388" s="2967"/>
    </row>
    <row r="389" spans="1:32" ht="33" customHeight="1">
      <c r="A389" s="140" t="s">
        <v>586</v>
      </c>
      <c r="B389" s="3963" t="s">
        <v>3504</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3372</v>
      </c>
      <c r="D390" s="139"/>
      <c r="E390" s="139"/>
      <c r="F390" s="139"/>
      <c r="G390" s="139"/>
      <c r="H390" s="40"/>
      <c r="I390" s="2667"/>
      <c r="J390" s="2667"/>
      <c r="K390" s="2667"/>
      <c r="L390" s="1401"/>
      <c r="M390" s="1401"/>
      <c r="N390" s="1401"/>
      <c r="O390" s="1401"/>
      <c r="P390" s="1401"/>
      <c r="Q390" s="782"/>
    </row>
    <row r="391" spans="1:32" ht="31.5" customHeight="1">
      <c r="A391" s="3958" t="s">
        <v>6935</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3528</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3202</v>
      </c>
      <c r="C398" s="3963"/>
      <c r="D398" s="3963"/>
      <c r="E398" s="3963"/>
      <c r="F398" s="3963"/>
      <c r="G398" s="3963"/>
      <c r="H398" s="3963"/>
      <c r="I398" s="3963"/>
      <c r="J398" s="3963"/>
      <c r="K398" s="3963"/>
      <c r="L398" s="3963"/>
      <c r="M398" s="3963"/>
      <c r="N398" s="3963"/>
      <c r="O398" s="159" t="s">
        <v>1895</v>
      </c>
      <c r="P398" s="2664"/>
      <c r="Q398" s="2960"/>
      <c r="AE398" s="442"/>
    </row>
    <row r="399" spans="1:32">
      <c r="A399" s="140" t="s">
        <v>719</v>
      </c>
      <c r="B399" s="55" t="s">
        <v>3331</v>
      </c>
      <c r="G399" s="2657"/>
      <c r="H399" s="2657"/>
      <c r="I399" s="2657"/>
      <c r="J399" s="783" t="s">
        <v>3332</v>
      </c>
      <c r="L399" s="2657"/>
      <c r="M399" s="4003">
        <f>'Part III-Sources of Funds'!I6</f>
        <v>0</v>
      </c>
      <c r="N399" s="4004"/>
      <c r="O399" s="159" t="s">
        <v>719</v>
      </c>
      <c r="P399" s="2668"/>
      <c r="Q399" s="2954"/>
      <c r="AF399" s="35"/>
    </row>
    <row r="400" spans="1:32" ht="11.25" customHeight="1">
      <c r="B400" s="139" t="s">
        <v>3372</v>
      </c>
      <c r="D400" s="139"/>
      <c r="E400" s="139"/>
      <c r="F400" s="139"/>
      <c r="G400" s="139"/>
      <c r="H400" s="40"/>
      <c r="I400" s="2667"/>
      <c r="J400" s="2667"/>
      <c r="K400" s="2667"/>
      <c r="L400" s="1401"/>
      <c r="M400" s="1401"/>
      <c r="N400" s="1401"/>
      <c r="O400" s="1401"/>
      <c r="P400" s="1401"/>
      <c r="Q400" s="782"/>
      <c r="AF400" s="35"/>
    </row>
    <row r="401" spans="1:32" ht="11.45" customHeight="1">
      <c r="A401" s="3958" t="s">
        <v>6935</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3529</v>
      </c>
      <c r="B405" s="4" t="s">
        <v>2524</v>
      </c>
      <c r="C405" s="4"/>
      <c r="D405" s="4"/>
      <c r="E405" s="2653"/>
      <c r="G405" s="138" t="s">
        <v>671</v>
      </c>
      <c r="H405" s="2653"/>
      <c r="I405" s="2653"/>
      <c r="J405" s="2653"/>
      <c r="K405" s="2653"/>
      <c r="L405" s="2653"/>
      <c r="M405" s="2653"/>
      <c r="O405" s="130" t="s">
        <v>1781</v>
      </c>
      <c r="P405" s="3961"/>
      <c r="Q405" s="4024"/>
      <c r="AF405" s="35"/>
    </row>
    <row r="406" spans="1:32" ht="12" customHeight="1">
      <c r="A406" s="47" t="s">
        <v>1893</v>
      </c>
      <c r="B406" s="52" t="s">
        <v>2527</v>
      </c>
      <c r="D406" s="784"/>
      <c r="E406" s="784"/>
      <c r="O406" s="439" t="s">
        <v>1893</v>
      </c>
      <c r="P406" s="2492"/>
      <c r="Q406" s="2952"/>
      <c r="AF406" s="35"/>
    </row>
    <row r="407" spans="1:32" ht="12" customHeight="1">
      <c r="A407" s="47" t="s">
        <v>1895</v>
      </c>
      <c r="B407" s="52" t="s">
        <v>3264</v>
      </c>
      <c r="D407" s="784"/>
      <c r="E407" s="784"/>
      <c r="O407" s="439" t="s">
        <v>1895</v>
      </c>
      <c r="P407" s="2669"/>
      <c r="Q407" s="2953"/>
      <c r="AF407" s="35"/>
    </row>
    <row r="408" spans="1:32" ht="12" customHeight="1">
      <c r="A408" s="47" t="s">
        <v>719</v>
      </c>
      <c r="B408" s="52" t="s">
        <v>4234</v>
      </c>
      <c r="D408" s="784"/>
      <c r="E408" s="784"/>
      <c r="O408" s="439" t="s">
        <v>719</v>
      </c>
      <c r="P408" s="2669"/>
      <c r="Q408" s="2953"/>
      <c r="AF408" s="35"/>
    </row>
    <row r="409" spans="1:32" ht="12" customHeight="1">
      <c r="A409" s="47" t="s">
        <v>2021</v>
      </c>
      <c r="B409" s="52" t="s">
        <v>3265</v>
      </c>
      <c r="E409" s="138"/>
      <c r="O409" s="439" t="s">
        <v>2021</v>
      </c>
      <c r="P409" s="2669"/>
      <c r="Q409" s="2953"/>
      <c r="AF409" s="35"/>
    </row>
    <row r="410" spans="1:32" ht="12" customHeight="1">
      <c r="A410" s="47" t="s">
        <v>1656</v>
      </c>
      <c r="B410" s="52" t="s">
        <v>1987</v>
      </c>
      <c r="E410" s="138"/>
      <c r="G410" s="439" t="s">
        <v>1656</v>
      </c>
      <c r="H410" s="3977"/>
      <c r="I410" s="3978"/>
      <c r="J410" s="3978"/>
      <c r="K410" s="3978"/>
      <c r="L410" s="3978"/>
      <c r="M410" s="3978"/>
      <c r="N410" s="3978"/>
      <c r="O410" s="3979"/>
      <c r="P410" s="2668"/>
      <c r="Q410" s="2954"/>
      <c r="AF410" s="35"/>
    </row>
    <row r="411" spans="1:32" ht="11.25" customHeight="1">
      <c r="B411" s="139" t="s">
        <v>3372</v>
      </c>
      <c r="D411" s="139"/>
      <c r="E411" s="139"/>
      <c r="F411" s="139"/>
      <c r="G411" s="139"/>
      <c r="H411" s="40"/>
      <c r="I411" s="2667"/>
      <c r="J411" s="2667"/>
      <c r="K411" s="2667"/>
      <c r="L411" s="1401"/>
      <c r="M411" s="1401"/>
      <c r="N411" s="1401"/>
      <c r="O411" s="1401"/>
      <c r="P411" s="1401"/>
      <c r="Q411" s="782"/>
      <c r="AF411" s="35"/>
    </row>
    <row r="412" spans="1:32" ht="11.45" customHeight="1">
      <c r="A412" s="3958" t="s">
        <v>6935</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3530</v>
      </c>
      <c r="B416" s="4" t="s">
        <v>4136</v>
      </c>
      <c r="C416" s="4"/>
      <c r="D416" s="4"/>
      <c r="E416" s="4"/>
      <c r="F416" s="4"/>
      <c r="G416" s="4"/>
      <c r="H416" s="2653"/>
      <c r="I416" s="2653"/>
      <c r="J416" s="2653"/>
      <c r="K416" s="2653"/>
      <c r="L416" s="2653"/>
      <c r="M416" s="2653"/>
      <c r="O416" s="130" t="s">
        <v>1781</v>
      </c>
      <c r="P416" s="3983"/>
      <c r="Q416" s="3984"/>
      <c r="AF416" s="35"/>
    </row>
    <row r="417" spans="1:33" ht="12" customHeight="1">
      <c r="B417" s="55" t="s">
        <v>6546</v>
      </c>
      <c r="O417" s="65"/>
      <c r="P417" s="2493" t="s">
        <v>2772</v>
      </c>
      <c r="Q417" s="2955"/>
    </row>
    <row r="418" spans="1:33" ht="12" customHeight="1">
      <c r="A418" s="47" t="s">
        <v>1893</v>
      </c>
      <c r="B418" s="86" t="s">
        <v>4135</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5"/>
      <c r="AF419" s="35"/>
    </row>
    <row r="420" spans="1:33" ht="12" customHeight="1">
      <c r="B420" s="52"/>
      <c r="C420" s="36" t="s">
        <v>4235</v>
      </c>
      <c r="D420" s="55" t="s">
        <v>4236</v>
      </c>
      <c r="E420" s="42"/>
      <c r="F420" s="42"/>
      <c r="G420" s="42"/>
      <c r="H420" s="42"/>
      <c r="I420" s="42"/>
      <c r="J420" s="42"/>
      <c r="K420" s="42"/>
      <c r="L420" s="42"/>
      <c r="M420" s="42"/>
      <c r="N420" s="42"/>
      <c r="O420" s="439" t="s">
        <v>4235</v>
      </c>
      <c r="P420" s="4162" t="s">
        <v>2772</v>
      </c>
      <c r="Q420" s="4160"/>
      <c r="AF420" s="35"/>
    </row>
    <row r="421" spans="1:33" ht="12" customHeight="1">
      <c r="A421" s="47"/>
      <c r="D421" s="52" t="s">
        <v>6835</v>
      </c>
      <c r="E421" s="52"/>
      <c r="F421" s="52"/>
      <c r="G421" s="52"/>
      <c r="H421" s="52"/>
      <c r="I421" s="52"/>
      <c r="J421" s="52"/>
      <c r="K421" s="52"/>
      <c r="L421" s="52"/>
      <c r="M421" s="52"/>
      <c r="N421" s="42"/>
      <c r="O421" s="1487"/>
      <c r="P421" s="4163"/>
      <c r="Q421" s="4161"/>
      <c r="AF421" s="35"/>
    </row>
    <row r="422" spans="1:33" ht="12" customHeight="1">
      <c r="C422" s="52" t="s">
        <v>2325</v>
      </c>
      <c r="D422" s="52" t="s">
        <v>3203</v>
      </c>
      <c r="E422" s="52"/>
      <c r="F422" s="52"/>
      <c r="G422" s="52"/>
      <c r="H422" s="52"/>
      <c r="I422" s="52"/>
      <c r="J422" s="52"/>
      <c r="K422" s="52"/>
      <c r="L422" s="52"/>
      <c r="M422" s="52"/>
      <c r="N422" s="42"/>
      <c r="O422" s="64" t="s">
        <v>2325</v>
      </c>
      <c r="P422" s="2500" t="s">
        <v>2772</v>
      </c>
      <c r="Q422" s="2964"/>
      <c r="AF422" s="35"/>
    </row>
    <row r="423" spans="1:33" s="146" customFormat="1" ht="12" customHeight="1">
      <c r="A423" s="47"/>
      <c r="C423" s="52" t="s">
        <v>4139</v>
      </c>
      <c r="D423" s="52" t="s">
        <v>3261</v>
      </c>
      <c r="E423" s="52"/>
      <c r="F423" s="52"/>
      <c r="G423" s="52"/>
      <c r="H423" s="52"/>
      <c r="I423" s="52"/>
      <c r="J423" s="52"/>
      <c r="K423" s="52"/>
      <c r="L423" s="52"/>
      <c r="M423" s="52"/>
      <c r="N423" s="93"/>
      <c r="O423" s="64" t="s">
        <v>2326</v>
      </c>
      <c r="P423" s="2514" t="s">
        <v>2772</v>
      </c>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t="s">
        <v>2772</v>
      </c>
      <c r="Q424" s="2966"/>
    </row>
    <row r="425" spans="1:33" ht="12" customHeight="1">
      <c r="A425" s="47"/>
      <c r="B425" s="1398" t="s">
        <v>2416</v>
      </c>
      <c r="C425" s="3963" t="s">
        <v>6400</v>
      </c>
      <c r="D425" s="3963"/>
      <c r="E425" s="3963"/>
      <c r="F425" s="3963"/>
      <c r="G425" s="133" t="s">
        <v>4140</v>
      </c>
      <c r="J425" s="2515" t="s">
        <v>931</v>
      </c>
      <c r="K425" s="2976"/>
      <c r="M425" s="133" t="s">
        <v>6492</v>
      </c>
      <c r="P425" s="2516" t="s">
        <v>931</v>
      </c>
      <c r="Q425" s="2977"/>
    </row>
    <row r="426" spans="1:33" ht="12" customHeight="1">
      <c r="A426" s="47"/>
      <c r="C426" s="3963"/>
      <c r="D426" s="3963"/>
      <c r="E426" s="3963"/>
      <c r="F426" s="3963"/>
      <c r="G426" s="133" t="s">
        <v>6491</v>
      </c>
      <c r="J426" s="2517" t="s">
        <v>931</v>
      </c>
      <c r="K426" s="2978"/>
      <c r="M426" s="133" t="s">
        <v>6493</v>
      </c>
      <c r="P426" s="2517" t="s">
        <v>931</v>
      </c>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6434</v>
      </c>
      <c r="J428" s="3951" t="s">
        <v>6435</v>
      </c>
      <c r="K428" s="3951" t="s">
        <v>6437</v>
      </c>
      <c r="L428" s="3951"/>
      <c r="M428" s="3951"/>
      <c r="N428" s="3967" t="s">
        <v>6436</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6599</v>
      </c>
      <c r="D430" s="3963"/>
      <c r="E430" s="3963"/>
      <c r="F430" s="3963"/>
      <c r="G430" s="3963"/>
      <c r="H430" s="3963"/>
      <c r="I430" s="1582">
        <f>$K$321</f>
        <v>5</v>
      </c>
      <c r="J430" s="2518" t="s">
        <v>931</v>
      </c>
      <c r="K430" s="3969" t="s">
        <v>931</v>
      </c>
      <c r="L430" s="3969"/>
      <c r="M430" s="3970"/>
      <c r="N430" s="1664">
        <f>MAX(J430,K430)</f>
        <v>0</v>
      </c>
      <c r="O430" s="64" t="s">
        <v>2328</v>
      </c>
      <c r="P430" s="2493" t="s">
        <v>2769</v>
      </c>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6438</v>
      </c>
      <c r="E433" s="138"/>
      <c r="F433" s="138"/>
      <c r="G433" s="138"/>
      <c r="H433" s="138"/>
      <c r="I433" s="1582">
        <f>$K$322</f>
        <v>2</v>
      </c>
      <c r="J433" s="2518" t="s">
        <v>931</v>
      </c>
      <c r="K433" s="3969" t="s">
        <v>931</v>
      </c>
      <c r="L433" s="3969"/>
      <c r="M433" s="3970"/>
      <c r="N433" s="1664">
        <f>MAX(J433,K433)</f>
        <v>0</v>
      </c>
      <c r="O433" s="439"/>
      <c r="P433" s="2519" t="s">
        <v>2769</v>
      </c>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6600</v>
      </c>
      <c r="D436" s="3963"/>
      <c r="E436" s="3963"/>
      <c r="F436" s="3963"/>
      <c r="G436" s="3963"/>
      <c r="H436" s="3963"/>
      <c r="I436" s="1582">
        <f>$K$324</f>
        <v>2</v>
      </c>
      <c r="J436" s="2518" t="s">
        <v>931</v>
      </c>
      <c r="K436" s="3969" t="s">
        <v>931</v>
      </c>
      <c r="L436" s="3969"/>
      <c r="M436" s="3970"/>
      <c r="N436" s="1664">
        <f>MAX(J436,K436)</f>
        <v>0</v>
      </c>
      <c r="O436" s="64" t="s">
        <v>2344</v>
      </c>
      <c r="P436" s="2493" t="s">
        <v>2769</v>
      </c>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5" t="s">
        <v>1691</v>
      </c>
    </row>
    <row r="441" spans="1:33" ht="12" customHeight="1">
      <c r="A441" s="42"/>
      <c r="B441" s="146"/>
      <c r="D441" s="3989" t="s">
        <v>6496</v>
      </c>
      <c r="E441" s="1274" t="s">
        <v>2347</v>
      </c>
      <c r="F441" s="418" t="s">
        <v>3425</v>
      </c>
      <c r="G441" s="3985" t="s">
        <v>6982</v>
      </c>
      <c r="H441" s="3986"/>
      <c r="I441" s="3986"/>
      <c r="J441" s="3986"/>
      <c r="K441" s="3987"/>
      <c r="L441" s="1274"/>
    </row>
    <row r="442" spans="1:33" ht="12" customHeight="1">
      <c r="B442" s="146"/>
      <c r="D442" s="3989"/>
      <c r="E442" s="1274" t="s">
        <v>4137</v>
      </c>
      <c r="F442" s="418" t="s">
        <v>4138</v>
      </c>
      <c r="G442" s="4032" t="s">
        <v>6981</v>
      </c>
      <c r="H442" s="4033"/>
      <c r="I442" s="4034"/>
      <c r="J442" s="418" t="s">
        <v>3965</v>
      </c>
      <c r="K442" s="146"/>
      <c r="M442" s="3985"/>
      <c r="N442" s="3986"/>
      <c r="O442" s="3986"/>
      <c r="P442" s="3986"/>
      <c r="Q442" s="3987"/>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3980" t="s">
        <v>6983</v>
      </c>
      <c r="C444" s="3981"/>
      <c r="D444" s="3981"/>
      <c r="E444" s="3981"/>
      <c r="F444" s="3981"/>
      <c r="G444" s="3981"/>
      <c r="H444" s="3981"/>
      <c r="I444" s="3981"/>
      <c r="J444" s="3981"/>
      <c r="K444" s="3981"/>
      <c r="L444" s="3981"/>
      <c r="M444" s="3981"/>
      <c r="N444" s="3981"/>
      <c r="O444" s="3981"/>
      <c r="P444" s="3981"/>
      <c r="Q444" s="3982"/>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8" t="s">
        <v>4237</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4141</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4142</v>
      </c>
      <c r="C448" s="3963"/>
      <c r="D448" s="3963"/>
      <c r="E448" s="3963"/>
      <c r="F448" s="3963"/>
      <c r="G448" s="3963"/>
      <c r="H448" s="3963"/>
      <c r="I448" s="3963"/>
      <c r="J448" s="3963"/>
      <c r="K448" s="3963"/>
      <c r="L448" s="3963"/>
      <c r="M448" s="3963"/>
      <c r="N448" s="3963"/>
      <c r="O448" s="159" t="s">
        <v>1895</v>
      </c>
      <c r="P448" s="2507" t="s">
        <v>6924</v>
      </c>
      <c r="Q448" s="2973"/>
      <c r="T448" s="443"/>
      <c r="AE448" s="443"/>
      <c r="AF448" s="443"/>
    </row>
    <row r="449" spans="1:32" ht="12" customHeight="1">
      <c r="B449" s="139" t="s">
        <v>3372</v>
      </c>
      <c r="D449" s="139"/>
      <c r="E449" s="139"/>
      <c r="F449" s="139"/>
      <c r="G449" s="139"/>
      <c r="H449" s="40"/>
      <c r="I449" s="2667"/>
      <c r="J449" s="2667"/>
      <c r="K449" s="2667"/>
    </row>
    <row r="450" spans="1:32" ht="58.5" customHeight="1">
      <c r="A450" s="3958" t="s">
        <v>7003</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3531</v>
      </c>
      <c r="B454" s="4" t="s">
        <v>2619</v>
      </c>
      <c r="C454" s="4"/>
      <c r="D454" s="86"/>
      <c r="E454" s="2653"/>
      <c r="F454" s="2653"/>
      <c r="G454" s="2653"/>
      <c r="H454" s="2653"/>
      <c r="O454" s="130" t="s">
        <v>1781</v>
      </c>
      <c r="P454" s="3961"/>
      <c r="Q454" s="3962"/>
    </row>
    <row r="455" spans="1:32" ht="14.1" customHeight="1">
      <c r="B455" s="86" t="s">
        <v>4081</v>
      </c>
      <c r="C455" s="4"/>
      <c r="D455" s="86"/>
      <c r="E455" s="2653"/>
      <c r="F455" s="2653"/>
      <c r="G455" s="2653"/>
      <c r="H455" s="2653"/>
    </row>
    <row r="456" spans="1:32" s="131" customFormat="1" ht="21.75" customHeight="1">
      <c r="A456" s="140" t="s">
        <v>1893</v>
      </c>
      <c r="B456" s="3950" t="s">
        <v>3455</v>
      </c>
      <c r="C456" s="3950"/>
      <c r="D456" s="3950"/>
      <c r="E456" s="3950"/>
      <c r="F456" s="3950"/>
      <c r="G456" s="3950"/>
      <c r="H456" s="3950"/>
      <c r="I456" s="3950"/>
      <c r="J456" s="3950"/>
      <c r="K456" s="3950"/>
      <c r="L456" s="3950"/>
      <c r="M456" s="3950"/>
      <c r="N456" s="3950"/>
      <c r="O456" s="159" t="s">
        <v>1893</v>
      </c>
      <c r="P456" s="2502" t="s">
        <v>6924</v>
      </c>
      <c r="Q456" s="2967"/>
      <c r="AE456" s="442"/>
      <c r="AF456" s="442"/>
    </row>
    <row r="457" spans="1:32" s="131" customFormat="1" ht="22.5" customHeight="1">
      <c r="A457" s="140" t="s">
        <v>1895</v>
      </c>
      <c r="B457" s="3950" t="s">
        <v>3454</v>
      </c>
      <c r="C457" s="3950"/>
      <c r="D457" s="3950"/>
      <c r="E457" s="3950"/>
      <c r="F457" s="3950"/>
      <c r="G457" s="3950"/>
      <c r="H457" s="3950"/>
      <c r="I457" s="3950"/>
      <c r="J457" s="3950"/>
      <c r="K457" s="3950"/>
      <c r="L457" s="3950"/>
      <c r="M457" s="3950"/>
      <c r="N457" s="3950"/>
      <c r="O457" s="159" t="s">
        <v>1895</v>
      </c>
      <c r="P457" s="2664" t="s">
        <v>6924</v>
      </c>
      <c r="Q457" s="2960"/>
      <c r="AE457" s="442"/>
      <c r="AF457" s="442"/>
    </row>
    <row r="458" spans="1:32" s="131" customFormat="1" ht="22.5" customHeight="1">
      <c r="B458" s="1305" t="s">
        <v>1658</v>
      </c>
      <c r="C458" s="3950" t="s">
        <v>4048</v>
      </c>
      <c r="D458" s="3950"/>
      <c r="E458" s="3950"/>
      <c r="F458" s="3950"/>
      <c r="G458" s="3950"/>
      <c r="H458" s="3950"/>
      <c r="I458" s="3950"/>
      <c r="J458" s="3950"/>
      <c r="K458" s="3950"/>
      <c r="L458" s="3950"/>
      <c r="M458" s="3950"/>
      <c r="N458" s="3950"/>
      <c r="O458" s="159" t="s">
        <v>1658</v>
      </c>
      <c r="P458" s="2664" t="s">
        <v>6924</v>
      </c>
      <c r="Q458" s="2960"/>
      <c r="AE458" s="442"/>
      <c r="AF458" s="442"/>
    </row>
    <row r="459" spans="1:32" s="42" customFormat="1" ht="12" customHeight="1">
      <c r="B459" s="1305" t="s">
        <v>1659</v>
      </c>
      <c r="C459" s="36" t="s">
        <v>4049</v>
      </c>
      <c r="D459" s="963"/>
      <c r="E459" s="963"/>
      <c r="F459" s="963"/>
      <c r="G459" s="963"/>
      <c r="H459" s="963"/>
      <c r="I459" s="963"/>
      <c r="J459" s="963"/>
      <c r="K459" s="963"/>
      <c r="L459" s="963"/>
      <c r="M459" s="963"/>
      <c r="N459" s="963"/>
      <c r="O459" s="439" t="s">
        <v>1659</v>
      </c>
      <c r="P459" s="2669" t="s">
        <v>6924</v>
      </c>
      <c r="Q459" s="2953"/>
      <c r="AE459" s="50"/>
      <c r="AF459" s="50"/>
    </row>
    <row r="460" spans="1:32" s="131" customFormat="1" ht="33" customHeight="1">
      <c r="B460" s="451" t="s">
        <v>1660</v>
      </c>
      <c r="C460" s="3950" t="s">
        <v>4050</v>
      </c>
      <c r="D460" s="3950"/>
      <c r="E460" s="3950"/>
      <c r="F460" s="3950"/>
      <c r="G460" s="3950"/>
      <c r="H460" s="3950"/>
      <c r="I460" s="3950"/>
      <c r="J460" s="3950"/>
      <c r="K460" s="3950"/>
      <c r="L460" s="3950"/>
      <c r="M460" s="3950"/>
      <c r="N460" s="3950"/>
      <c r="O460" s="159" t="s">
        <v>1660</v>
      </c>
      <c r="P460" s="2664" t="s">
        <v>6924</v>
      </c>
      <c r="Q460" s="2960"/>
      <c r="AE460" s="442"/>
      <c r="AF460" s="442"/>
    </row>
    <row r="461" spans="1:32" s="131" customFormat="1" ht="22.5" customHeight="1">
      <c r="B461" s="451" t="s">
        <v>2260</v>
      </c>
      <c r="C461" s="3950" t="s">
        <v>4051</v>
      </c>
      <c r="D461" s="3950"/>
      <c r="E461" s="3950"/>
      <c r="F461" s="3950"/>
      <c r="G461" s="3950"/>
      <c r="H461" s="3950"/>
      <c r="I461" s="3950"/>
      <c r="J461" s="3950"/>
      <c r="K461" s="3950"/>
      <c r="L461" s="3950"/>
      <c r="M461" s="3950"/>
      <c r="N461" s="3950"/>
      <c r="O461" s="159" t="s">
        <v>2260</v>
      </c>
      <c r="P461" s="2664" t="s">
        <v>6924</v>
      </c>
      <c r="Q461" s="2960"/>
      <c r="AE461" s="442"/>
      <c r="AF461" s="442"/>
    </row>
    <row r="462" spans="1:32" s="131" customFormat="1" ht="22.5" customHeight="1">
      <c r="A462" s="140" t="s">
        <v>719</v>
      </c>
      <c r="B462" s="3950" t="s">
        <v>3456</v>
      </c>
      <c r="C462" s="3950"/>
      <c r="D462" s="3950"/>
      <c r="E462" s="3950"/>
      <c r="F462" s="3950"/>
      <c r="G462" s="3950"/>
      <c r="H462" s="3950"/>
      <c r="I462" s="3950"/>
      <c r="J462" s="3950"/>
      <c r="K462" s="3950"/>
      <c r="L462" s="3950"/>
      <c r="M462" s="3950"/>
      <c r="N462" s="3950"/>
      <c r="O462" s="159" t="s">
        <v>719</v>
      </c>
      <c r="P462" s="2664" t="s">
        <v>6924</v>
      </c>
      <c r="Q462" s="2960"/>
      <c r="AE462" s="442"/>
      <c r="AF462" s="442"/>
    </row>
    <row r="463" spans="1:32" s="131" customFormat="1" ht="22.5" customHeight="1">
      <c r="A463" s="140" t="s">
        <v>2021</v>
      </c>
      <c r="B463" s="3950" t="s">
        <v>4108</v>
      </c>
      <c r="C463" s="3950"/>
      <c r="D463" s="3950"/>
      <c r="E463" s="3950"/>
      <c r="F463" s="3950"/>
      <c r="G463" s="3950"/>
      <c r="H463" s="3950"/>
      <c r="I463" s="3950"/>
      <c r="J463" s="3950"/>
      <c r="K463" s="3950"/>
      <c r="L463" s="3950"/>
      <c r="M463" s="3950"/>
      <c r="N463" s="3950"/>
      <c r="O463" s="159" t="s">
        <v>2021</v>
      </c>
      <c r="P463" s="2664" t="s">
        <v>6924</v>
      </c>
      <c r="Q463" s="2960"/>
      <c r="AE463" s="442"/>
      <c r="AF463" s="442"/>
    </row>
    <row r="464" spans="1:32" s="131" customFormat="1" ht="21.75" customHeight="1">
      <c r="A464" s="140" t="s">
        <v>1656</v>
      </c>
      <c r="B464" s="3950" t="s">
        <v>4109</v>
      </c>
      <c r="C464" s="3950"/>
      <c r="D464" s="3950"/>
      <c r="E464" s="3950"/>
      <c r="F464" s="3950"/>
      <c r="G464" s="3950"/>
      <c r="H464" s="3950"/>
      <c r="I464" s="3950"/>
      <c r="J464" s="3950"/>
      <c r="K464" s="3950"/>
      <c r="L464" s="3950"/>
      <c r="M464" s="3950"/>
      <c r="N464" s="3950"/>
      <c r="O464" s="159" t="s">
        <v>1656</v>
      </c>
      <c r="P464" s="2664" t="s">
        <v>6924</v>
      </c>
      <c r="Q464" s="2960"/>
      <c r="AE464" s="442"/>
      <c r="AF464" s="442"/>
    </row>
    <row r="465" spans="1:32" s="403" customFormat="1" ht="21.75" customHeight="1">
      <c r="A465" s="140" t="s">
        <v>1657</v>
      </c>
      <c r="B465" s="3950" t="s">
        <v>4152</v>
      </c>
      <c r="C465" s="3950"/>
      <c r="D465" s="3950"/>
      <c r="E465" s="3950"/>
      <c r="F465" s="3950"/>
      <c r="G465" s="3950"/>
      <c r="H465" s="3950"/>
      <c r="I465" s="3950"/>
      <c r="J465" s="3950"/>
      <c r="K465" s="3950"/>
      <c r="L465" s="3950"/>
      <c r="M465" s="3950"/>
      <c r="N465" s="3950"/>
      <c r="O465" s="159" t="s">
        <v>1657</v>
      </c>
      <c r="P465" s="2665" t="s">
        <v>6924</v>
      </c>
      <c r="Q465" s="2962"/>
      <c r="AE465" s="444"/>
      <c r="AF465" s="444"/>
    </row>
    <row r="466" spans="1:32" ht="11.25" customHeight="1">
      <c r="B466" s="139" t="s">
        <v>3372</v>
      </c>
      <c r="D466" s="139"/>
      <c r="E466" s="139"/>
      <c r="F466" s="139"/>
      <c r="G466" s="139"/>
      <c r="H466" s="40"/>
      <c r="I466" s="2667"/>
      <c r="J466" s="2667"/>
      <c r="K466" s="2667"/>
      <c r="L466" s="1401"/>
      <c r="M466" s="1401"/>
      <c r="N466" s="1401"/>
      <c r="O466" s="1401"/>
      <c r="P466" s="1401"/>
      <c r="Q466" s="782"/>
    </row>
    <row r="467" spans="1:32" ht="30" customHeight="1">
      <c r="A467" s="3958" t="s">
        <v>6936</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3966</v>
      </c>
      <c r="B471" s="4"/>
      <c r="C471" s="4" t="s">
        <v>2525</v>
      </c>
      <c r="D471" s="86"/>
      <c r="E471" s="2653"/>
      <c r="F471" s="2653"/>
      <c r="G471" s="2653"/>
      <c r="H471" s="2653"/>
      <c r="J471" s="2653"/>
      <c r="K471" s="2653"/>
      <c r="L471" s="2653"/>
      <c r="M471" s="2653"/>
      <c r="O471" s="130" t="s">
        <v>1781</v>
      </c>
      <c r="P471" s="3961"/>
      <c r="Q471" s="3962"/>
    </row>
    <row r="472" spans="1:32" ht="11.25" customHeight="1">
      <c r="A472" s="2647"/>
      <c r="B472" s="139" t="s">
        <v>3372</v>
      </c>
      <c r="D472" s="139"/>
      <c r="E472" s="139"/>
      <c r="F472" s="139"/>
      <c r="G472" s="139"/>
      <c r="H472" s="40"/>
      <c r="I472" s="2667"/>
      <c r="J472" s="2667"/>
      <c r="K472" s="2667"/>
      <c r="L472" s="1401"/>
      <c r="M472" s="1401"/>
      <c r="N472" s="1401"/>
      <c r="O472" s="1401"/>
      <c r="P472" s="1401"/>
      <c r="Q472" s="782"/>
    </row>
    <row r="473" spans="1:32" ht="33.75" customHeight="1">
      <c r="A473" s="3958" t="s">
        <v>7004</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4249</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4250</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4251</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4255</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4252</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4253</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4254</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2036</v>
      </c>
      <c r="J490" s="1821" t="s">
        <v>1647</v>
      </c>
      <c r="N490" s="914"/>
      <c r="O490" s="913" t="s">
        <v>3414</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3381</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4030</v>
      </c>
      <c r="R534" s="55"/>
      <c r="AE534" s="915"/>
      <c r="AF534" s="915"/>
    </row>
    <row r="535" spans="1:32" s="912" customFormat="1" ht="11.25">
      <c r="A535" s="55"/>
      <c r="B535" s="55"/>
      <c r="C535" s="912" t="s">
        <v>2425</v>
      </c>
      <c r="M535" s="912" t="s">
        <v>4061</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4031</v>
      </c>
      <c r="R537" s="55"/>
      <c r="AE537" s="915"/>
      <c r="AF537" s="915"/>
    </row>
    <row r="538" spans="1:32" s="912" customFormat="1" ht="11.25">
      <c r="A538" s="55"/>
      <c r="B538" s="55"/>
      <c r="C538" s="912" t="s">
        <v>561</v>
      </c>
      <c r="M538" s="1827" t="s">
        <v>4089</v>
      </c>
      <c r="R538" s="55"/>
      <c r="AE538" s="915"/>
      <c r="AF538" s="915"/>
    </row>
    <row r="539" spans="1:32" s="912" customFormat="1" ht="11.25">
      <c r="A539" s="55"/>
      <c r="B539" s="55"/>
      <c r="C539" s="912" t="s">
        <v>2100</v>
      </c>
      <c r="M539" s="1827" t="s">
        <v>4090</v>
      </c>
      <c r="R539" s="55"/>
      <c r="AE539" s="915"/>
      <c r="AF539" s="915"/>
    </row>
    <row r="540" spans="1:32" s="912" customFormat="1" ht="11.25">
      <c r="A540" s="55"/>
      <c r="B540" s="55"/>
      <c r="C540" s="1828" t="s">
        <v>30</v>
      </c>
      <c r="M540" s="912" t="s">
        <v>4032</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Y3hpHg77cu14jZXPmvcYYZSlb4jSXLjNG0lqLMgOG6CdP8EurguH6ptjB9QiZjIE5VQjwbyA/aWSlFezm3Twzw==" saltValue="OgiRskkicVB5fmDu5Ma8Y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46" zoomScale="106" zoomScaleNormal="106" workbookViewId="0">
      <selection activeCell="A346"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855468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2021-006 Wagon Works, East Point, Fulton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95" t="s">
        <v>4017</v>
      </c>
      <c r="B3" s="4295"/>
      <c r="C3" s="4295"/>
      <c r="D3" s="4295"/>
      <c r="E3" s="4295"/>
      <c r="F3" s="4295"/>
      <c r="G3" s="4295"/>
      <c r="H3" s="4295"/>
      <c r="I3" s="4295"/>
      <c r="J3" s="4295"/>
      <c r="K3" s="4295"/>
      <c r="L3" s="4295"/>
      <c r="M3" s="767"/>
      <c r="N3" s="73"/>
      <c r="O3" s="83" t="s">
        <v>2117</v>
      </c>
      <c r="P3" s="984" t="s">
        <v>245</v>
      </c>
      <c r="Q3" s="1302"/>
      <c r="R3" s="1302"/>
      <c r="S3" s="1302"/>
    </row>
    <row r="4" spans="1:22" s="44" customFormat="1" ht="12" customHeight="1">
      <c r="A4" s="4295"/>
      <c r="B4" s="4295"/>
      <c r="C4" s="4295"/>
      <c r="D4" s="4295"/>
      <c r="E4" s="4295"/>
      <c r="F4" s="4295"/>
      <c r="G4" s="4295"/>
      <c r="H4" s="4295"/>
      <c r="I4" s="4295"/>
      <c r="J4" s="4295"/>
      <c r="K4" s="4295"/>
      <c r="L4" s="4295"/>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2" t="str">
        <f>'Part I-Project Information'!$B$7</f>
        <v>2021 Core Application</v>
      </c>
      <c r="C6" s="4322"/>
      <c r="D6" s="4322"/>
      <c r="E6" s="4322"/>
      <c r="F6" s="4322"/>
      <c r="G6" s="445"/>
      <c r="H6" s="42"/>
      <c r="I6" s="42"/>
      <c r="J6" s="42"/>
      <c r="L6" s="69" t="s">
        <v>1180</v>
      </c>
      <c r="M6" s="3"/>
      <c r="N6" s="9"/>
      <c r="O6" s="1686">
        <f>O401</f>
        <v>69.5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3" t="s">
        <v>6315</v>
      </c>
      <c r="B8" s="4323"/>
      <c r="C8" s="4323"/>
      <c r="D8" s="4006" t="s">
        <v>6316</v>
      </c>
      <c r="E8" s="4006"/>
      <c r="F8" s="4006"/>
      <c r="G8" s="4006"/>
      <c r="H8" s="4006"/>
      <c r="I8" s="4006"/>
      <c r="J8" s="4006"/>
      <c r="K8" s="4006"/>
      <c r="L8" s="4006"/>
      <c r="M8" s="4006"/>
      <c r="O8" s="2520">
        <v>0</v>
      </c>
      <c r="P8" s="2981"/>
      <c r="Q8" s="36" t="s">
        <v>6352</v>
      </c>
      <c r="R8" s="429"/>
      <c r="S8" s="156"/>
    </row>
    <row r="9" spans="1:22" s="42" customFormat="1" ht="12" customHeight="1">
      <c r="A9" s="4323"/>
      <c r="B9" s="4323"/>
      <c r="C9" s="4323"/>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2" t="s">
        <v>6351</v>
      </c>
      <c r="C11" s="4293"/>
      <c r="D11" s="4293"/>
      <c r="E11" s="4293"/>
      <c r="F11" s="4293"/>
      <c r="G11" s="4293"/>
      <c r="H11" s="4293"/>
      <c r="I11" s="4293"/>
      <c r="J11" s="4293"/>
      <c r="K11" s="4293"/>
      <c r="L11" s="4293"/>
      <c r="M11" s="4293"/>
      <c r="N11" s="4293"/>
      <c r="O11" s="4293"/>
      <c r="P11" s="429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4006</v>
      </c>
      <c r="I14" s="66"/>
      <c r="J14" s="66"/>
      <c r="K14" s="66"/>
      <c r="L14" s="66"/>
      <c r="M14" s="1265" t="s">
        <v>4005</v>
      </c>
      <c r="N14" s="66"/>
      <c r="O14" s="2520">
        <v>0</v>
      </c>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19" t="s">
        <v>6824</v>
      </c>
      <c r="G16" s="4319"/>
      <c r="H16" s="4319"/>
      <c r="I16" s="4319"/>
      <c r="J16" s="4319"/>
      <c r="K16" s="4319"/>
      <c r="L16" s="4319"/>
      <c r="M16" s="4319"/>
      <c r="N16" s="4319"/>
      <c r="O16" s="1287" t="s">
        <v>3973</v>
      </c>
      <c r="P16" s="1288">
        <f>SUM(P17:P29)</f>
        <v>0</v>
      </c>
      <c r="Q16" s="4216" t="s">
        <v>4068</v>
      </c>
      <c r="R16" s="4216"/>
      <c r="S16" s="4216"/>
      <c r="T16" s="4216"/>
      <c r="U16" s="4216"/>
      <c r="V16" s="4216"/>
    </row>
    <row r="17" spans="1:33" s="42" customFormat="1" ht="10.5" customHeight="1">
      <c r="A17" s="993" t="s">
        <v>1713</v>
      </c>
      <c r="B17" s="990" t="s">
        <v>3546</v>
      </c>
      <c r="C17" s="991"/>
      <c r="D17" s="992"/>
      <c r="E17" s="1281">
        <f>$O$98</f>
        <v>20</v>
      </c>
      <c r="F17" s="4320" t="str">
        <f>$A$104</f>
        <v xml:space="preserve">Wagon Works has twelve (12) DCA Desirable Activities within the 1.5 mile walking distance, Five (5) of those desirables are within .5 miles of the project.  The project totals 31 points which more than exceeds the 20 point maximum for this scoring section.  </v>
      </c>
      <c r="G17" s="4321"/>
      <c r="H17" s="4321"/>
      <c r="I17" s="4321"/>
      <c r="J17" s="4321"/>
      <c r="K17" s="4321"/>
      <c r="L17" s="4321"/>
      <c r="M17" s="4321"/>
      <c r="N17" s="4321"/>
      <c r="O17" s="4321"/>
      <c r="P17" s="2982"/>
      <c r="Q17" s="4216"/>
      <c r="R17" s="4216"/>
      <c r="S17" s="4216"/>
      <c r="T17" s="4216"/>
      <c r="U17" s="4216"/>
      <c r="V17" s="4216"/>
    </row>
    <row r="18" spans="1:33" s="42" customFormat="1" ht="10.5" customHeight="1">
      <c r="A18" s="993" t="s">
        <v>505</v>
      </c>
      <c r="B18" s="841" t="s">
        <v>4241</v>
      </c>
      <c r="C18" s="942"/>
      <c r="D18" s="994"/>
      <c r="E18" s="1282">
        <f>$O$108</f>
        <v>5</v>
      </c>
      <c r="F18" s="4242" t="str">
        <f>$A$142</f>
        <v>Wagon Works is located adjacent to the East Point Marta Transit HUB.  The East Point is a train station is located at 2848 East Main Street in East Point, Georgia, serving the Red and Gold lines of the Metropolitan Atlanta Rapid Transit Authority (MARTA) rail system. It has an island platform between two tracks. It was opened on August 16, 1986. In addition to the Red and Gold rail lines the station also includes nearly 1000 parking spaces and has four connecting bus routes, Route 78, Route 84, Route 192, and Route 193. A copy of the rail and bus schedules along with the cost of service are included in tab 280105 of the Wagon Works application. It mainly serves East Point, Camp Creek, and unincorporated South Fulton and College Park. This station provides access to Downtown East Point historic dining-shopping-urban renewal district, and East Point Public Library. Bus service is provided at this station to Atlanta Medical Center-South Campus, Brownsmill Golf Course, Point University, Fulton County Board of Education, Camp Creek Market Place, Fulton HJC Bowden Senior Center, Cleveland Avenue and Grady East Point Health Center. The planned Clayton County commuter rail is expected to terminate here.</v>
      </c>
      <c r="G18" s="4243"/>
      <c r="H18" s="4243"/>
      <c r="I18" s="4243"/>
      <c r="J18" s="4243"/>
      <c r="K18" s="4243"/>
      <c r="L18" s="4243"/>
      <c r="M18" s="4243"/>
      <c r="N18" s="4243"/>
      <c r="O18" s="4244"/>
      <c r="P18" s="2983"/>
      <c r="Q18" s="4253" t="str">
        <f>IF(OR($A$104="",$A$142="",$A$159="",$A$180="",$A$195="",$A$215="",$A$233="",$A$243="",$A$252="",$A$290="",$A$326="",$A$346="",$A$375=""),"Some Applicant Scoring Justification boxes are empty! Check to see if points claimed.","")</f>
        <v/>
      </c>
      <c r="R18" s="4254"/>
      <c r="S18" s="4254"/>
    </row>
    <row r="19" spans="1:33" s="42" customFormat="1" ht="10.5" customHeight="1">
      <c r="A19" s="993" t="s">
        <v>742</v>
      </c>
      <c r="B19" s="841" t="s">
        <v>3485</v>
      </c>
      <c r="C19" s="942"/>
      <c r="D19" s="994"/>
      <c r="E19" s="1282">
        <f>$O$147</f>
        <v>1.5</v>
      </c>
      <c r="F19" s="4242" t="str">
        <f>$A$159</f>
        <v xml:space="preserve">Two of the three schools meet the "Beating the Odds Designation" for Wagon Works.  Please see the Beating the Odds for 2019 included within the application along with the district map from the Fulton County School District Website.  </v>
      </c>
      <c r="G19" s="4243"/>
      <c r="H19" s="4243"/>
      <c r="I19" s="4243"/>
      <c r="J19" s="4243"/>
      <c r="K19" s="4243"/>
      <c r="L19" s="4243"/>
      <c r="M19" s="4243"/>
      <c r="N19" s="4243"/>
      <c r="O19" s="4244"/>
      <c r="P19" s="2983"/>
      <c r="Q19" s="4253"/>
      <c r="R19" s="4254"/>
      <c r="S19" s="4254"/>
    </row>
    <row r="20" spans="1:33" s="42" customFormat="1" ht="10.5" customHeight="1">
      <c r="A20" s="1685" t="s">
        <v>281</v>
      </c>
      <c r="B20" s="841" t="s">
        <v>3547</v>
      </c>
      <c r="C20" s="942"/>
      <c r="D20" s="994"/>
      <c r="E20" s="1283">
        <f>$O$163</f>
        <v>7</v>
      </c>
      <c r="F20" s="4242" t="str">
        <f>$A$180</f>
        <v xml:space="preserve">Wagon Works is located within a QCT in the East Point LCI Main Street Corridor TOD Area Redevelopment Plan.  The plan was Initiated and funded by the City of East Point and the Atlanta Regional Commission through a Livable Centers Initiative grant in 2012, the over-arching goal of The TOD Plan is to create a regional model for how to effectively develop a thriving, mixed-use transit village that is economically viable and attractive to residents and businesses alike. Through a four-phase process that includes vision and understanding, community engagement, plan concepts and an acti on-focused implementati on plan, the eightmonth planning effort determined appropriate land uses, transportati on improvements, revitalizati on opportuniti es, and urban design to create a mixed-use, transit, and pedestrian friendly corridor that not only supports, yet also encourages short- and longrange alternate forms of transportation, especially transit.  
Wagon Works meets the Transit Oriented Development principles and goals for the plan to focus on walkable, mixed use areas integrated with transit (approximately within ½ mile of a transit station). By promoting mixed-income TOD, this plan looks holistically at land use and transportation to promote a mix of housing choices that serve a variety of people at different income levels and stages of their lifecycle. This supports the Atlanta Regional Commission’s goals for both the Livable Centers Initiative and Lifelong Communities Initiative, and importantly, complements MARTA’s goal of promoting “a sustainable, affordable, and growing future for the people of Metro Atlanta.” 
The City of East Point has implemented the plan since its adoption in 2015.  The city has invested or is scheduled to invest close to $60,000,000 within the past three years.  This includes a new city hall and amphitheater, civic auditorium, the East Point PATH, Streetscape Projects, etc.  All required documentation is located within tab 30 of the application verifying third party capital investment within .5 miles of the Wagon Works Redevelopment.  
</v>
      </c>
      <c r="G20" s="4243"/>
      <c r="H20" s="4243"/>
      <c r="I20" s="4243"/>
      <c r="J20" s="4243"/>
      <c r="K20" s="4243"/>
      <c r="L20" s="4243"/>
      <c r="M20" s="4243"/>
      <c r="N20" s="4243"/>
      <c r="O20" s="4244"/>
      <c r="P20" s="2983"/>
      <c r="Q20" s="4253"/>
      <c r="R20" s="4254"/>
      <c r="S20" s="4254"/>
    </row>
    <row r="21" spans="1:33" s="42" customFormat="1" ht="10.5" customHeight="1">
      <c r="A21" s="993" t="s">
        <v>407</v>
      </c>
      <c r="B21" s="1000" t="s">
        <v>3548</v>
      </c>
      <c r="C21" s="1001"/>
      <c r="D21" s="1002"/>
      <c r="E21" s="1284" t="s">
        <v>1654</v>
      </c>
      <c r="F21" s="4326" t="str">
        <f>$A$195</f>
        <v>Not Applicable</v>
      </c>
      <c r="G21" s="4327"/>
      <c r="H21" s="4327"/>
      <c r="I21" s="4327"/>
      <c r="J21" s="4327"/>
      <c r="K21" s="4327"/>
      <c r="L21" s="4327"/>
      <c r="M21" s="4327"/>
      <c r="N21" s="4327"/>
      <c r="O21" s="4328"/>
      <c r="P21" s="2983"/>
      <c r="Q21" s="4253"/>
      <c r="R21" s="4254"/>
      <c r="S21" s="4254"/>
    </row>
    <row r="22" spans="1:33" s="42" customFormat="1" ht="10.5" customHeight="1">
      <c r="A22" s="993" t="s">
        <v>346</v>
      </c>
      <c r="B22" s="841" t="s">
        <v>4242</v>
      </c>
      <c r="C22" s="942"/>
      <c r="D22" s="994"/>
      <c r="E22" s="1282">
        <f>$O$199</f>
        <v>0</v>
      </c>
      <c r="F22" s="4242" t="str">
        <f>$A$215</f>
        <v>Not Applicable</v>
      </c>
      <c r="G22" s="4243"/>
      <c r="H22" s="4243"/>
      <c r="I22" s="4243"/>
      <c r="J22" s="4243"/>
      <c r="K22" s="4243"/>
      <c r="L22" s="4243"/>
      <c r="M22" s="4243"/>
      <c r="N22" s="4243"/>
      <c r="O22" s="4244"/>
      <c r="P22" s="2983"/>
      <c r="Q22" s="4253"/>
      <c r="R22" s="4254"/>
      <c r="S22" s="4254"/>
    </row>
    <row r="23" spans="1:33" s="42" customFormat="1" ht="10.5" customHeight="1">
      <c r="A23" s="993" t="s">
        <v>4244</v>
      </c>
      <c r="B23" s="841" t="s">
        <v>3396</v>
      </c>
      <c r="C23" s="942"/>
      <c r="D23" s="994"/>
      <c r="E23" s="1282">
        <f>$O$228</f>
        <v>0</v>
      </c>
      <c r="F23" s="4242" t="str">
        <f>$A$233</f>
        <v>Not Applicable</v>
      </c>
      <c r="G23" s="4243"/>
      <c r="H23" s="4243"/>
      <c r="I23" s="4243"/>
      <c r="J23" s="4243"/>
      <c r="K23" s="4243"/>
      <c r="L23" s="4243"/>
      <c r="M23" s="4243"/>
      <c r="N23" s="4243"/>
      <c r="O23" s="4244"/>
      <c r="P23" s="2983"/>
      <c r="Q23" s="4253"/>
      <c r="R23" s="4254"/>
      <c r="S23" s="4254"/>
    </row>
    <row r="24" spans="1:33" s="42" customFormat="1" ht="10.5" customHeight="1">
      <c r="A24" s="993" t="s">
        <v>4256</v>
      </c>
      <c r="B24" s="841" t="s">
        <v>4245</v>
      </c>
      <c r="C24" s="942"/>
      <c r="D24" s="994"/>
      <c r="E24" s="1284">
        <f>$O$237</f>
        <v>0</v>
      </c>
      <c r="F24" s="4242" t="str">
        <f>$A$243</f>
        <v xml:space="preserve">The project is not a phased development, therefore not applicable.  </v>
      </c>
      <c r="G24" s="4243"/>
      <c r="H24" s="4243"/>
      <c r="I24" s="4243"/>
      <c r="J24" s="4243"/>
      <c r="K24" s="4243"/>
      <c r="L24" s="4243"/>
      <c r="M24" s="4243"/>
      <c r="N24" s="4243"/>
      <c r="O24" s="4244"/>
      <c r="P24" s="2983"/>
      <c r="Q24" s="4253"/>
      <c r="R24" s="4254"/>
      <c r="S24" s="4254"/>
    </row>
    <row r="25" spans="1:33" s="42" customFormat="1" ht="10.5" customHeight="1">
      <c r="A25" s="1685" t="s">
        <v>6531</v>
      </c>
      <c r="B25" s="841" t="s">
        <v>4246</v>
      </c>
      <c r="C25" s="942"/>
      <c r="D25" s="994"/>
      <c r="E25" s="1282">
        <f>$O$247</f>
        <v>3</v>
      </c>
      <c r="F25" s="4245" t="str">
        <f>$A$252</f>
        <v xml:space="preserve">The project qualifies as a TOD therefore it qualifies for 3 points in the section. Please see the required documentation in Tab 35 of the application.  </v>
      </c>
      <c r="G25" s="4246"/>
      <c r="H25" s="4246"/>
      <c r="I25" s="4246"/>
      <c r="J25" s="4246"/>
      <c r="K25" s="4246"/>
      <c r="L25" s="4246"/>
      <c r="M25" s="4246"/>
      <c r="N25" s="4246"/>
      <c r="O25" s="4247"/>
      <c r="P25" s="2983"/>
      <c r="Q25" s="4253"/>
      <c r="R25" s="4254"/>
      <c r="S25" s="4254"/>
    </row>
    <row r="26" spans="1:33" s="42" customFormat="1" ht="10.5" customHeight="1">
      <c r="A26" s="999" t="s">
        <v>3521</v>
      </c>
      <c r="B26" s="1000" t="s">
        <v>3549</v>
      </c>
      <c r="C26" s="1001"/>
      <c r="D26" s="1002"/>
      <c r="E26" s="1285">
        <f>$O$286</f>
        <v>0</v>
      </c>
      <c r="F26" s="4242" t="str">
        <f>$A$290</f>
        <v xml:space="preserve">East Point is a Freshman GICH Community Member.  Therefore Wagon Works does not qualify for these points.  </v>
      </c>
      <c r="G26" s="4243"/>
      <c r="H26" s="4243"/>
      <c r="I26" s="4243"/>
      <c r="J26" s="4243"/>
      <c r="K26" s="4243"/>
      <c r="L26" s="4243"/>
      <c r="M26" s="4243"/>
      <c r="N26" s="4243"/>
      <c r="O26" s="4244"/>
      <c r="P26" s="2983"/>
      <c r="Q26" s="4253"/>
      <c r="R26" s="4254"/>
      <c r="S26" s="4254"/>
    </row>
    <row r="27" spans="1:33" s="42" customFormat="1" ht="10.5" customHeight="1">
      <c r="A27" s="993" t="s">
        <v>3519</v>
      </c>
      <c r="B27" s="841" t="s">
        <v>3550</v>
      </c>
      <c r="C27" s="942"/>
      <c r="D27" s="994"/>
      <c r="E27" s="1282">
        <f>$O$294</f>
        <v>2</v>
      </c>
      <c r="F27" s="4242" t="str">
        <f>$A$326</f>
        <v xml:space="preserve">The project qualifies for Historic Tax Credit proceeds.  The applicant is waiting on the Georgia Part A and Part II from SHPO.  It is expected to be completed in early June prior to the July 22nd deadline for "Alternate Financing" referenced in the Q&amp;A.s from March 18, 2021.  Please find the Part 1 – Evaluation of Significance along with National Register of Historic Places Inventory-Nomination Form dated 7/11/1985 as reference to the Historic Structure of the Wagon Works.  </v>
      </c>
      <c r="G27" s="4243"/>
      <c r="H27" s="4243"/>
      <c r="I27" s="4243"/>
      <c r="J27" s="4243"/>
      <c r="K27" s="4243"/>
      <c r="L27" s="4243"/>
      <c r="M27" s="4243"/>
      <c r="N27" s="4243"/>
      <c r="O27" s="4244"/>
      <c r="P27" s="2983"/>
      <c r="Q27" s="4253"/>
      <c r="R27" s="4254"/>
      <c r="S27" s="4254"/>
    </row>
    <row r="28" spans="1:33" s="42" customFormat="1" ht="10.5" customHeight="1">
      <c r="A28" s="993" t="s">
        <v>3519</v>
      </c>
      <c r="B28" s="841" t="s">
        <v>3551</v>
      </c>
      <c r="C28" s="942"/>
      <c r="D28" s="994"/>
      <c r="E28" s="1284">
        <f>$O$330</f>
        <v>2</v>
      </c>
      <c r="F28" s="4242" t="str">
        <f>$A$346</f>
        <v xml:space="preserve">The White Hickory Wagon Manufacturing Company (Wagon Works) was one of the earliest buildings constructed in East Point, Georgia.  Constructed in 1884 and located on East Cleveland Avenue, it is comprised of several attached one and two-story brick structures.  Wagon Works is located within the East Point Industrial Historic District in downtown East Point along with four other historic complexes including the Buggy Works, Couch Brothers Cotton Mills, Atlanta Utility Works, and the Oak Knitting Mill Buildings.  
The White Hickory Wagon Manufacturing Company, which began operation in 1884, produced wagons until the 1920’s when motorized farm vehicles replaced the wagon as the primary farm vehicle.  The company supplied wagons to much of the southeast for about forty years.  After White Hickory went out of business the Wagon Works building became owned by the O’Neill Brothers Cotton Linters &amp; Waste Textile Company from 1960 to 1984.  A group of investors purchased the Wagon Works building within the last decade and remodeled it into office and retail space.  The Covid-19 Pandemic was detrimental to the operations of the building as companies moved to a work from home model and retail companies went out of businesses.
Please find the Part 1 – Evaluation of Significance along with National Register of Historic Places Inventory-Nomination Form dated 7/11/1985 as reference to the Historic Structure of the Wagon Works.  </v>
      </c>
      <c r="G28" s="4243"/>
      <c r="H28" s="4243"/>
      <c r="I28" s="4243"/>
      <c r="J28" s="4243"/>
      <c r="K28" s="4243"/>
      <c r="L28" s="4243"/>
      <c r="M28" s="4243"/>
      <c r="N28" s="4243"/>
      <c r="O28" s="4244"/>
      <c r="P28" s="2983"/>
      <c r="Q28" s="4253"/>
      <c r="R28" s="4254"/>
      <c r="S28" s="4254"/>
    </row>
    <row r="29" spans="1:33" s="42" customFormat="1" ht="10.5" customHeight="1">
      <c r="A29" s="995" t="s">
        <v>3526</v>
      </c>
      <c r="B29" s="996" t="s">
        <v>6361</v>
      </c>
      <c r="C29" s="997"/>
      <c r="D29" s="998"/>
      <c r="E29" s="1709">
        <f>$O$358</f>
        <v>2</v>
      </c>
      <c r="F29" s="4316" t="str">
        <f>$A$375</f>
        <v>Not Applicable</v>
      </c>
      <c r="G29" s="4317"/>
      <c r="H29" s="4317"/>
      <c r="I29" s="4317"/>
      <c r="J29" s="4317"/>
      <c r="K29" s="4317"/>
      <c r="L29" s="4317"/>
      <c r="M29" s="4317"/>
      <c r="N29" s="4317"/>
      <c r="O29" s="4318"/>
      <c r="P29" s="2984"/>
      <c r="Q29" s="4253"/>
      <c r="R29" s="4254"/>
      <c r="S29" s="4254"/>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256" t="s">
        <v>6353</v>
      </c>
      <c r="H31" s="4256"/>
      <c r="I31" s="4256" t="s">
        <v>932</v>
      </c>
      <c r="J31" s="4256"/>
      <c r="K31" s="2671" t="s">
        <v>6354</v>
      </c>
      <c r="L31" s="1613"/>
      <c r="M31" s="4257" t="s">
        <v>6370</v>
      </c>
      <c r="N31" s="4257"/>
      <c r="O31" s="4257"/>
      <c r="P31" s="4257"/>
      <c r="Q31" s="1618"/>
      <c r="R31" s="1618"/>
      <c r="S31" s="2521" t="s">
        <v>6369</v>
      </c>
      <c r="T31" s="1618"/>
      <c r="U31" s="1618"/>
      <c r="V31" s="1618"/>
      <c r="X31" s="4168" t="s">
        <v>6353</v>
      </c>
      <c r="Y31" s="4169"/>
      <c r="Z31" s="4168" t="s">
        <v>932</v>
      </c>
      <c r="AA31" s="4169"/>
      <c r="AB31" s="2522" t="s">
        <v>6354</v>
      </c>
      <c r="AC31" s="4170" t="s">
        <v>6353</v>
      </c>
      <c r="AD31" s="4171"/>
      <c r="AE31" s="4170" t="s">
        <v>932</v>
      </c>
      <c r="AF31" s="4171"/>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350" t="str">
        <f>'Part I-Project Information'!F12</f>
        <v>9% Credit Competitive Round only</v>
      </c>
      <c r="N32" s="4351"/>
      <c r="O32" s="4351"/>
      <c r="P32" s="4352"/>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258" t="s">
        <v>6375</v>
      </c>
      <c r="N34" s="4258"/>
      <c r="O34" s="4258"/>
      <c r="P34" s="4258"/>
      <c r="Q34" s="1613"/>
      <c r="R34" s="1615" t="s">
        <v>1711</v>
      </c>
      <c r="S34" s="2536" t="s">
        <v>6356</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4241</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4241</v>
      </c>
      <c r="T36" s="1794"/>
      <c r="U36" s="1795"/>
      <c r="V36" s="1795"/>
      <c r="W36" s="1795"/>
      <c r="X36" s="2544">
        <f>O108</f>
        <v>5</v>
      </c>
      <c r="Y36" s="2545">
        <f>O108</f>
        <v>5</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3485</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7</v>
      </c>
      <c r="Y38" s="2541">
        <f>O163</f>
        <v>7</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6536</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4242</v>
      </c>
      <c r="C40" s="1792"/>
      <c r="D40" s="1793"/>
      <c r="E40" s="1793"/>
      <c r="F40" s="1793"/>
      <c r="G40" s="2537">
        <v>10</v>
      </c>
      <c r="H40" s="2538">
        <v>5</v>
      </c>
      <c r="I40" s="2537"/>
      <c r="J40" s="2538"/>
      <c r="K40" s="2539"/>
      <c r="L40" s="1613"/>
      <c r="M40" s="4266" t="s">
        <v>6537</v>
      </c>
      <c r="N40" s="4266"/>
      <c r="O40" s="481"/>
      <c r="P40" s="1804" t="str">
        <f>IF('Part I-Project Information'!$P$101="","",'Part I-Project Information'!$P$101)</f>
        <v>No</v>
      </c>
      <c r="Q40" s="1613"/>
      <c r="R40" s="1615" t="s">
        <v>346</v>
      </c>
      <c r="S40" s="2536" t="s">
        <v>4242</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6544</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259" t="str">
        <f>IF($P$45&gt;$P$46,"New Supply",IF($P$45&lt;$P$46,"Rehabilitation",IF(AND($P$45&gt;0,$P$45=$P$46),"Tie","")))</f>
        <v>New Supply</v>
      </c>
      <c r="N43" s="4260"/>
      <c r="O43" s="4260"/>
      <c r="P43" s="4261"/>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4246</v>
      </c>
      <c r="C44" s="1794"/>
      <c r="D44" s="1795"/>
      <c r="E44" s="1795"/>
      <c r="F44" s="1795"/>
      <c r="G44" s="2537">
        <v>5</v>
      </c>
      <c r="H44" s="2538"/>
      <c r="I44" s="2537"/>
      <c r="J44" s="2538"/>
      <c r="K44" s="2539"/>
      <c r="L44" s="1613"/>
      <c r="P44" s="1615" t="s">
        <v>3380</v>
      </c>
      <c r="Q44" s="1613"/>
      <c r="R44" s="1615" t="s">
        <v>3520</v>
      </c>
      <c r="S44" s="2536" t="s">
        <v>4246</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89</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6359</v>
      </c>
      <c r="C46" s="1794"/>
      <c r="D46" s="1795"/>
      <c r="E46" s="1795"/>
      <c r="F46" s="1795"/>
      <c r="G46" s="2537">
        <v>2</v>
      </c>
      <c r="H46" s="2538"/>
      <c r="I46" s="2537">
        <v>2</v>
      </c>
      <c r="J46" s="2538"/>
      <c r="K46" s="2539"/>
      <c r="L46" s="1613"/>
      <c r="M46" s="279" t="s">
        <v>6574</v>
      </c>
      <c r="N46" s="1614"/>
      <c r="O46" s="1614"/>
      <c r="P46" s="1805">
        <f>'Part VI-Revenues &amp; Expenses'!P118+'Part VI-Revenues &amp; Expenses'!P121-'Part VI-Revenues &amp; Expenses'!$P$122-'Part VI-Revenues &amp; Expenses'!$P$123</f>
        <v>0</v>
      </c>
      <c r="Q46" s="1613"/>
      <c r="R46" s="1615" t="s">
        <v>3520</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24" t="s">
        <v>6823</v>
      </c>
      <c r="N47" s="4324"/>
      <c r="O47" s="4324"/>
      <c r="P47" s="4324"/>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24"/>
      <c r="N48" s="4324"/>
      <c r="O48" s="4324"/>
      <c r="P48" s="4324"/>
      <c r="R48" s="1615" t="s">
        <v>3519</v>
      </c>
      <c r="S48" s="2536" t="s">
        <v>3550</v>
      </c>
      <c r="T48" s="1794"/>
      <c r="U48" s="1795"/>
      <c r="V48" s="1795"/>
      <c r="W48" s="1795"/>
      <c r="X48" s="2540">
        <f>O294</f>
        <v>2</v>
      </c>
      <c r="Y48" s="2541">
        <f>O294</f>
        <v>2</v>
      </c>
      <c r="Z48" s="2540">
        <f>O294</f>
        <v>2</v>
      </c>
      <c r="AA48" s="2541">
        <f>O294</f>
        <v>2</v>
      </c>
      <c r="AB48" s="2551">
        <f>O294</f>
        <v>2</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24"/>
      <c r="N49" s="4324"/>
      <c r="O49" s="4324"/>
      <c r="P49" s="4324"/>
      <c r="R49" s="1615" t="s">
        <v>3522</v>
      </c>
      <c r="S49" s="2536" t="s">
        <v>3551</v>
      </c>
      <c r="T49" s="1794"/>
      <c r="U49" s="1795"/>
      <c r="V49" s="1795"/>
      <c r="W49" s="1795"/>
      <c r="X49" s="2537">
        <f>O330</f>
        <v>2</v>
      </c>
      <c r="Y49" s="2538"/>
      <c r="Z49" s="2537"/>
      <c r="AA49" s="2538"/>
      <c r="AB49" s="2542"/>
      <c r="AC49" s="2547">
        <f>P330</f>
        <v>0</v>
      </c>
      <c r="AD49" s="2538"/>
      <c r="AE49" s="2537"/>
      <c r="AF49" s="2538"/>
      <c r="AG49" s="2539"/>
    </row>
    <row r="50" spans="1:33" s="157" customFormat="1" ht="10.5" customHeight="1">
      <c r="A50" s="1615" t="s">
        <v>3523</v>
      </c>
      <c r="B50" s="2536" t="s">
        <v>6360</v>
      </c>
      <c r="C50" s="1794"/>
      <c r="D50" s="1795"/>
      <c r="E50" s="1795"/>
      <c r="F50" s="1795"/>
      <c r="G50" s="2537">
        <v>10</v>
      </c>
      <c r="H50" s="2538">
        <v>10</v>
      </c>
      <c r="I50" s="2537">
        <v>10</v>
      </c>
      <c r="J50" s="2538">
        <v>10</v>
      </c>
      <c r="K50" s="2539">
        <v>10</v>
      </c>
      <c r="L50" s="1613"/>
      <c r="M50" s="4324"/>
      <c r="N50" s="4324"/>
      <c r="O50" s="4324"/>
      <c r="P50" s="4324"/>
      <c r="R50" s="1615" t="s">
        <v>3523</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6361</v>
      </c>
      <c r="C51" s="1794"/>
      <c r="D51" s="1795"/>
      <c r="E51" s="1795"/>
      <c r="F51" s="1795"/>
      <c r="G51" s="2537">
        <v>2</v>
      </c>
      <c r="H51" s="2538"/>
      <c r="I51" s="2537">
        <v>2</v>
      </c>
      <c r="J51" s="2538"/>
      <c r="K51" s="2539"/>
      <c r="L51" s="1613"/>
      <c r="M51" s="4324"/>
      <c r="N51" s="4324"/>
      <c r="O51" s="4324"/>
      <c r="P51" s="4324"/>
      <c r="R51" s="1615" t="s">
        <v>3526</v>
      </c>
      <c r="S51" s="2536" t="s">
        <v>6361</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3527</v>
      </c>
      <c r="B52" s="2536" t="s">
        <v>6362</v>
      </c>
      <c r="C52" s="1794"/>
      <c r="D52" s="1795"/>
      <c r="E52" s="1795"/>
      <c r="F52" s="1795"/>
      <c r="G52" s="2537"/>
      <c r="H52" s="2538"/>
      <c r="I52" s="2537">
        <v>6</v>
      </c>
      <c r="J52" s="2538">
        <v>6</v>
      </c>
      <c r="K52" s="2539">
        <v>6</v>
      </c>
      <c r="L52" s="1613"/>
      <c r="M52" s="4325"/>
      <c r="N52" s="4325"/>
      <c r="O52" s="4325"/>
      <c r="P52" s="4325"/>
      <c r="R52" s="1615" t="s">
        <v>3527</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6363</v>
      </c>
      <c r="C53" s="1794"/>
      <c r="D53" s="1795"/>
      <c r="E53" s="1795"/>
      <c r="F53" s="1795"/>
      <c r="G53" s="2537"/>
      <c r="H53" s="2538"/>
      <c r="I53" s="2537">
        <v>6</v>
      </c>
      <c r="J53" s="2538"/>
      <c r="K53" s="2539"/>
      <c r="L53" s="1613"/>
      <c r="M53" s="4353" t="s">
        <v>6353</v>
      </c>
      <c r="N53" s="4354"/>
      <c r="O53" s="4354"/>
      <c r="P53" s="4355"/>
      <c r="Q53" s="1613"/>
      <c r="R53" s="1615" t="s">
        <v>3528</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6364</v>
      </c>
      <c r="C54" s="1794"/>
      <c r="D54" s="1795"/>
      <c r="E54" s="1795"/>
      <c r="F54" s="1795"/>
      <c r="G54" s="2537"/>
      <c r="H54" s="2538"/>
      <c r="I54" s="2537"/>
      <c r="J54" s="2538">
        <v>4</v>
      </c>
      <c r="K54" s="2539"/>
      <c r="L54" s="1613"/>
      <c r="Q54" s="1613"/>
      <c r="R54" s="1615" t="s">
        <v>3529</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6365</v>
      </c>
      <c r="C55" s="1794"/>
      <c r="D55" s="1795"/>
      <c r="E55" s="1795"/>
      <c r="F55" s="1795"/>
      <c r="G55" s="2537"/>
      <c r="H55" s="2538"/>
      <c r="I55" s="2537">
        <v>2</v>
      </c>
      <c r="J55" s="2538"/>
      <c r="K55" s="2539">
        <v>2</v>
      </c>
      <c r="L55" s="1613"/>
      <c r="M55" s="4258" t="s">
        <v>6372</v>
      </c>
      <c r="N55" s="4258"/>
      <c r="O55" s="4258"/>
      <c r="P55" s="4258"/>
      <c r="Q55" s="1613"/>
      <c r="R55" s="1615" t="s">
        <v>3530</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6366</v>
      </c>
      <c r="C56" s="1796"/>
      <c r="D56" s="1797"/>
      <c r="E56" s="1797"/>
      <c r="F56" s="1797"/>
      <c r="G56" s="2555"/>
      <c r="H56" s="2556">
        <v>16</v>
      </c>
      <c r="I56" s="2555"/>
      <c r="J56" s="2556">
        <v>16</v>
      </c>
      <c r="K56" s="2557"/>
      <c r="L56" s="1613"/>
      <c r="M56" s="4267" t="str">
        <f>'Part I-Project Information'!$H$105</f>
        <v>Atlanta Metro</v>
      </c>
      <c r="N56" s="4268"/>
      <c r="O56" s="4268"/>
      <c r="P56" s="4269"/>
      <c r="Q56" s="1613"/>
      <c r="R56" s="1615" t="s">
        <v>3531</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6532</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69.5</v>
      </c>
      <c r="Y58" s="2562">
        <f t="shared" ref="Y58:AB58" si="1">SUM(Y33:Y56)</f>
        <v>51.5</v>
      </c>
      <c r="Z58" s="2562">
        <f t="shared" si="1"/>
        <v>30</v>
      </c>
      <c r="AA58" s="2562">
        <f t="shared" si="1"/>
        <v>18</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6529</v>
      </c>
    </row>
    <row r="62" spans="1:33" s="43" customFormat="1" ht="12.75" customHeight="1">
      <c r="A62" s="176"/>
      <c r="B62" s="1681" t="s">
        <v>1896</v>
      </c>
      <c r="C62" s="109" t="s">
        <v>3971</v>
      </c>
      <c r="D62" s="48"/>
      <c r="E62" s="48"/>
      <c r="F62" s="1673"/>
      <c r="H62" s="170" t="s">
        <v>3298</v>
      </c>
      <c r="J62" s="49"/>
      <c r="N62" s="381" t="s">
        <v>1896</v>
      </c>
      <c r="P62" s="976">
        <f>F70</f>
        <v>0</v>
      </c>
    </row>
    <row r="63" spans="1:33" s="43" customFormat="1" ht="12.75" customHeight="1">
      <c r="A63" s="176"/>
      <c r="B63" s="1681" t="s">
        <v>1898</v>
      </c>
      <c r="C63" s="109" t="s">
        <v>6528</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292" t="s">
        <v>4079</v>
      </c>
      <c r="D65" s="4293"/>
      <c r="E65" s="4293"/>
      <c r="F65" s="4293"/>
      <c r="G65" s="4293"/>
      <c r="H65" s="4293"/>
      <c r="I65" s="4293"/>
      <c r="J65" s="4293"/>
      <c r="K65" s="4293"/>
      <c r="L65" s="4293"/>
      <c r="M65" s="4293"/>
      <c r="N65" s="4293"/>
      <c r="O65" s="4293"/>
      <c r="P65" s="429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80" t="s">
        <v>6282</v>
      </c>
      <c r="B69" s="4080"/>
      <c r="C69" s="4080"/>
      <c r="D69" s="4080"/>
      <c r="E69" s="4080"/>
      <c r="F69" s="1260" t="s">
        <v>3543</v>
      </c>
      <c r="G69" s="4308" t="s">
        <v>6284</v>
      </c>
      <c r="H69" s="4308"/>
      <c r="I69" s="4308"/>
      <c r="J69" s="1260" t="s">
        <v>3543</v>
      </c>
      <c r="K69" s="4312" t="s">
        <v>6283</v>
      </c>
      <c r="L69" s="4312"/>
      <c r="M69" s="4312"/>
      <c r="N69" s="4312"/>
      <c r="O69" s="4306" t="s">
        <v>3543</v>
      </c>
      <c r="P69" s="4307"/>
      <c r="R69" s="429"/>
      <c r="S69" s="156"/>
    </row>
    <row r="70" spans="1:20" s="42" customFormat="1" ht="12.75" customHeight="1">
      <c r="A70" s="4305"/>
      <c r="B70" s="4305"/>
      <c r="C70" s="4305"/>
      <c r="D70" s="4305"/>
      <c r="E70" s="4305"/>
      <c r="F70" s="76">
        <f>SUM(F71:F82)</f>
        <v>0</v>
      </c>
      <c r="G70" s="4309"/>
      <c r="H70" s="4310"/>
      <c r="I70" s="4311"/>
      <c r="J70" s="76">
        <f>SUM(J71:J82)</f>
        <v>0</v>
      </c>
      <c r="K70" s="4313"/>
      <c r="L70" s="4314"/>
      <c r="M70" s="4314"/>
      <c r="N70" s="4315"/>
      <c r="O70" s="4296">
        <f>SUM(O71:O82)</f>
        <v>0</v>
      </c>
      <c r="P70" s="4297"/>
      <c r="Q70" s="429"/>
      <c r="R70" s="156"/>
    </row>
    <row r="71" spans="1:20" s="42" customFormat="1" ht="24.75" customHeight="1">
      <c r="A71" s="4298">
        <v>1</v>
      </c>
      <c r="B71" s="4299"/>
      <c r="C71" s="4299"/>
      <c r="D71" s="4299"/>
      <c r="E71" s="4300"/>
      <c r="F71" s="2986"/>
      <c r="G71" s="4298">
        <v>1</v>
      </c>
      <c r="H71" s="4299"/>
      <c r="I71" s="4300"/>
      <c r="J71" s="775" t="s">
        <v>1654</v>
      </c>
      <c r="K71" s="4301">
        <v>1</v>
      </c>
      <c r="L71" s="4302"/>
      <c r="M71" s="4302"/>
      <c r="N71" s="4302"/>
      <c r="O71" s="4303" t="s">
        <v>1654</v>
      </c>
      <c r="P71" s="4304"/>
      <c r="Q71" s="427" t="s">
        <v>1208</v>
      </c>
      <c r="R71" s="156"/>
    </row>
    <row r="72" spans="1:20" s="42" customFormat="1" ht="24.75" customHeight="1">
      <c r="A72" s="4250">
        <v>2</v>
      </c>
      <c r="B72" s="4251"/>
      <c r="C72" s="4251"/>
      <c r="D72" s="4251"/>
      <c r="E72" s="4252"/>
      <c r="F72" s="2987"/>
      <c r="G72" s="4250">
        <v>2</v>
      </c>
      <c r="H72" s="4251"/>
      <c r="I72" s="4252"/>
      <c r="J72" s="2987"/>
      <c r="K72" s="4264">
        <v>2</v>
      </c>
      <c r="L72" s="4265"/>
      <c r="M72" s="4265"/>
      <c r="N72" s="4265"/>
      <c r="O72" s="4240"/>
      <c r="P72" s="4241"/>
      <c r="Q72" s="428"/>
      <c r="R72" s="156"/>
    </row>
    <row r="73" spans="1:20" s="42" customFormat="1" ht="24.75" customHeight="1">
      <c r="A73" s="4250">
        <v>3</v>
      </c>
      <c r="B73" s="4251"/>
      <c r="C73" s="4251"/>
      <c r="D73" s="4251"/>
      <c r="E73" s="4252"/>
      <c r="F73" s="2987"/>
      <c r="G73" s="4250">
        <v>3</v>
      </c>
      <c r="H73" s="4251"/>
      <c r="I73" s="4252"/>
      <c r="J73" s="1003" t="s">
        <v>2692</v>
      </c>
      <c r="K73" s="4264">
        <v>3</v>
      </c>
      <c r="L73" s="4265"/>
      <c r="M73" s="4265"/>
      <c r="N73" s="4265"/>
      <c r="O73" s="4421" t="s">
        <v>2692</v>
      </c>
      <c r="P73" s="4422"/>
      <c r="Q73" s="4419" t="s">
        <v>3972</v>
      </c>
      <c r="R73" s="4420"/>
      <c r="S73" s="1262"/>
      <c r="T73" s="1262"/>
    </row>
    <row r="74" spans="1:20" s="42" customFormat="1" ht="24.75" customHeight="1">
      <c r="A74" s="4250">
        <v>4</v>
      </c>
      <c r="B74" s="4251"/>
      <c r="C74" s="4251"/>
      <c r="D74" s="4251"/>
      <c r="E74" s="4252"/>
      <c r="F74" s="2987"/>
      <c r="G74" s="4250">
        <v>4</v>
      </c>
      <c r="H74" s="4251"/>
      <c r="I74" s="4252"/>
      <c r="J74" s="2987"/>
      <c r="K74" s="4264">
        <v>4</v>
      </c>
      <c r="L74" s="4265"/>
      <c r="M74" s="4265"/>
      <c r="N74" s="4265"/>
      <c r="O74" s="4421" t="s">
        <v>2692</v>
      </c>
      <c r="P74" s="4422"/>
      <c r="Q74" s="4419"/>
      <c r="R74" s="4420"/>
      <c r="S74" s="1262"/>
      <c r="T74" s="1262"/>
    </row>
    <row r="75" spans="1:20" s="42" customFormat="1" ht="24.75" customHeight="1">
      <c r="A75" s="4250">
        <v>5</v>
      </c>
      <c r="B75" s="4251"/>
      <c r="C75" s="4251"/>
      <c r="D75" s="4251"/>
      <c r="E75" s="4252"/>
      <c r="F75" s="2987"/>
      <c r="G75" s="4250">
        <v>5</v>
      </c>
      <c r="H75" s="4251"/>
      <c r="I75" s="4252"/>
      <c r="J75" s="1003" t="s">
        <v>3266</v>
      </c>
      <c r="K75" s="4264">
        <v>5</v>
      </c>
      <c r="L75" s="4265"/>
      <c r="M75" s="4265"/>
      <c r="N75" s="4265"/>
      <c r="O75" s="4240"/>
      <c r="P75" s="4241"/>
      <c r="Q75" s="4419"/>
      <c r="R75" s="4420"/>
      <c r="S75" s="1262"/>
      <c r="T75" s="1262"/>
    </row>
    <row r="76" spans="1:20" s="42" customFormat="1" ht="24" customHeight="1">
      <c r="A76" s="4250">
        <v>6</v>
      </c>
      <c r="B76" s="4251"/>
      <c r="C76" s="4251"/>
      <c r="D76" s="4251"/>
      <c r="E76" s="4252"/>
      <c r="F76" s="2987"/>
      <c r="G76" s="4250">
        <v>6</v>
      </c>
      <c r="H76" s="4251"/>
      <c r="I76" s="4252"/>
      <c r="J76" s="2987"/>
      <c r="K76" s="4264">
        <v>6</v>
      </c>
      <c r="L76" s="4265"/>
      <c r="M76" s="4265"/>
      <c r="N76" s="4265"/>
      <c r="O76" s="4240"/>
      <c r="P76" s="4241"/>
      <c r="Q76" s="4419"/>
      <c r="R76" s="4420"/>
    </row>
    <row r="77" spans="1:20" s="42" customFormat="1" ht="24.75" customHeight="1">
      <c r="A77" s="4250">
        <v>7</v>
      </c>
      <c r="B77" s="4251"/>
      <c r="C77" s="4251"/>
      <c r="D77" s="4251"/>
      <c r="E77" s="4252"/>
      <c r="F77" s="2987"/>
      <c r="G77" s="4250">
        <v>7</v>
      </c>
      <c r="H77" s="4251"/>
      <c r="I77" s="4252"/>
      <c r="J77" s="1003" t="s">
        <v>3267</v>
      </c>
      <c r="K77" s="4264">
        <v>7</v>
      </c>
      <c r="L77" s="4265"/>
      <c r="M77" s="4265"/>
      <c r="N77" s="4265"/>
      <c r="O77" s="4240"/>
      <c r="P77" s="4241"/>
      <c r="Q77" s="156"/>
      <c r="R77" s="156"/>
    </row>
    <row r="78" spans="1:20" s="42" customFormat="1" ht="24.75" customHeight="1">
      <c r="A78" s="4250">
        <v>8</v>
      </c>
      <c r="B78" s="4251"/>
      <c r="C78" s="4251"/>
      <c r="D78" s="4251"/>
      <c r="E78" s="4252"/>
      <c r="F78" s="2987"/>
      <c r="G78" s="4250">
        <v>8</v>
      </c>
      <c r="H78" s="4251"/>
      <c r="I78" s="4252"/>
      <c r="J78" s="2987"/>
      <c r="K78" s="4264">
        <v>8</v>
      </c>
      <c r="L78" s="4265"/>
      <c r="M78" s="4265"/>
      <c r="N78" s="4265"/>
      <c r="O78" s="4240"/>
      <c r="P78" s="4241"/>
      <c r="Q78" s="156"/>
      <c r="R78" s="156"/>
    </row>
    <row r="79" spans="1:20" s="42" customFormat="1" ht="24.75" customHeight="1">
      <c r="A79" s="4250">
        <v>9</v>
      </c>
      <c r="B79" s="4251"/>
      <c r="C79" s="4251"/>
      <c r="D79" s="4251"/>
      <c r="E79" s="4252"/>
      <c r="F79" s="2987"/>
      <c r="G79" s="4250">
        <v>9</v>
      </c>
      <c r="H79" s="4251"/>
      <c r="I79" s="4252"/>
      <c r="J79" s="1003" t="s">
        <v>3268</v>
      </c>
      <c r="K79" s="4264">
        <v>9</v>
      </c>
      <c r="L79" s="4265"/>
      <c r="M79" s="4265"/>
      <c r="N79" s="4265"/>
      <c r="O79" s="4240"/>
      <c r="P79" s="4241"/>
      <c r="Q79" s="156"/>
      <c r="R79" s="156"/>
    </row>
    <row r="80" spans="1:20" s="42" customFormat="1" ht="24.75" customHeight="1">
      <c r="A80" s="4250">
        <v>10</v>
      </c>
      <c r="B80" s="4251"/>
      <c r="C80" s="4251"/>
      <c r="D80" s="4251"/>
      <c r="E80" s="4252"/>
      <c r="F80" s="2987"/>
      <c r="G80" s="4250">
        <v>10</v>
      </c>
      <c r="H80" s="4251"/>
      <c r="I80" s="4252"/>
      <c r="J80" s="2987"/>
      <c r="K80" s="4264">
        <v>10</v>
      </c>
      <c r="L80" s="4265"/>
      <c r="M80" s="4265"/>
      <c r="N80" s="4265"/>
      <c r="O80" s="4240"/>
      <c r="P80" s="4241"/>
      <c r="Q80" s="156"/>
    </row>
    <row r="81" spans="1:19" s="42" customFormat="1" ht="24.75" customHeight="1">
      <c r="A81" s="4250">
        <v>11</v>
      </c>
      <c r="B81" s="4251"/>
      <c r="C81" s="4251"/>
      <c r="D81" s="4251"/>
      <c r="E81" s="4252"/>
      <c r="F81" s="2987"/>
      <c r="G81" s="4250">
        <v>11</v>
      </c>
      <c r="H81" s="4251"/>
      <c r="I81" s="4252"/>
      <c r="J81" s="1003" t="s">
        <v>3269</v>
      </c>
      <c r="K81" s="4250">
        <v>11</v>
      </c>
      <c r="L81" s="4251"/>
      <c r="M81" s="4251"/>
      <c r="N81" s="4252"/>
      <c r="O81" s="4240"/>
      <c r="P81" s="4241"/>
      <c r="Q81" s="156"/>
      <c r="R81" s="156"/>
    </row>
    <row r="82" spans="1:19" s="42" customFormat="1" ht="24.75" customHeight="1">
      <c r="A82" s="4272">
        <v>12</v>
      </c>
      <c r="B82" s="4273"/>
      <c r="C82" s="4273"/>
      <c r="D82" s="4273"/>
      <c r="E82" s="4274"/>
      <c r="F82" s="2988"/>
      <c r="G82" s="4272">
        <v>12</v>
      </c>
      <c r="H82" s="4273"/>
      <c r="I82" s="4274"/>
      <c r="J82" s="2988"/>
      <c r="K82" s="4272">
        <v>12</v>
      </c>
      <c r="L82" s="4273"/>
      <c r="M82" s="4273"/>
      <c r="N82" s="4274"/>
      <c r="O82" s="4275"/>
      <c r="P82" s="427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6542</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6374</v>
      </c>
      <c r="E86" s="57"/>
      <c r="G86" s="87"/>
      <c r="H86" s="55" t="s">
        <v>4066</v>
      </c>
      <c r="I86" s="1316" t="str">
        <f>'Part I-Project Information'!$K$94</f>
        <v>Income Averaging</v>
      </c>
      <c r="M86" s="777"/>
      <c r="N86" s="7"/>
      <c r="Q86" s="7"/>
      <c r="R86" s="367"/>
    </row>
    <row r="87" spans="1:19" s="101" customFormat="1" ht="9" customHeight="1">
      <c r="A87" s="137"/>
      <c r="B87" s="4428" t="s">
        <v>3975</v>
      </c>
      <c r="C87" s="4428"/>
      <c r="D87" s="4428"/>
      <c r="E87" s="4428"/>
      <c r="F87" s="4428"/>
      <c r="G87" s="4428"/>
      <c r="H87" s="4428"/>
      <c r="I87" s="4428"/>
      <c r="J87" s="4428"/>
      <c r="K87" s="4428"/>
      <c r="L87" s="4428"/>
      <c r="M87" s="777"/>
      <c r="N87" s="7"/>
      <c r="Q87" s="7"/>
      <c r="R87" s="367"/>
    </row>
    <row r="88" spans="1:19" s="101" customFormat="1" ht="13.5" customHeight="1">
      <c r="B88" s="4428"/>
      <c r="C88" s="4428"/>
      <c r="D88" s="4428"/>
      <c r="E88" s="4428"/>
      <c r="F88" s="4428"/>
      <c r="G88" s="4428"/>
      <c r="H88" s="4428"/>
      <c r="I88" s="4428"/>
      <c r="J88" s="4428"/>
      <c r="K88" s="4428"/>
      <c r="L88" s="4428"/>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57.977528089887642</v>
      </c>
      <c r="L89" s="4431" t="str">
        <f>IF(AND(O89&gt;0,O90&gt;0), "CHOOSE EITHER A OR B, NOT BOTH!", "")</f>
        <v/>
      </c>
      <c r="M89" s="910">
        <v>2</v>
      </c>
      <c r="N89" s="172" t="s">
        <v>1896</v>
      </c>
      <c r="O89" s="2563">
        <v>2</v>
      </c>
      <c r="P89" s="2989"/>
      <c r="Q89" s="1295" t="str">
        <f>IF(OR($O89=$M89,$O89=0,$O89=""),"","*CHECK!*")</f>
        <v/>
      </c>
      <c r="R89" s="892" t="s">
        <v>4264</v>
      </c>
    </row>
    <row r="90" spans="1:19" s="101" customFormat="1" ht="13.5" customHeight="1">
      <c r="A90" s="1267" t="s">
        <v>3104</v>
      </c>
      <c r="B90" s="1279" t="s">
        <v>1898</v>
      </c>
      <c r="C90" s="1268" t="s">
        <v>3978</v>
      </c>
      <c r="D90" s="52"/>
      <c r="I90" s="1266"/>
      <c r="K90" s="52"/>
      <c r="L90" s="4431"/>
      <c r="M90" s="910">
        <v>2</v>
      </c>
      <c r="N90" s="172" t="s">
        <v>1898</v>
      </c>
      <c r="O90" s="2564"/>
      <c r="P90" s="2990"/>
      <c r="Q90" s="129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3299</v>
      </c>
      <c r="E92" s="415"/>
      <c r="H92" s="4401" t="s">
        <v>3979</v>
      </c>
      <c r="I92" s="4402"/>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3300</v>
      </c>
      <c r="E93" s="415"/>
      <c r="F93" s="774"/>
      <c r="H93" s="2565"/>
      <c r="I93" s="2991"/>
      <c r="J93" s="1270">
        <f>'Part VI-Revenues &amp; Expenses'!P65</f>
        <v>89</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68"/>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3518</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2769</v>
      </c>
      <c r="P100" s="2992"/>
    </row>
    <row r="101" spans="1:21" s="101" customFormat="1" ht="12.75" customHeight="1">
      <c r="A101" s="137" t="s">
        <v>1893</v>
      </c>
      <c r="B101" s="163" t="s">
        <v>1787</v>
      </c>
      <c r="C101" s="4"/>
      <c r="D101" s="4"/>
      <c r="F101" s="291"/>
      <c r="H101" s="753" t="s">
        <v>2565</v>
      </c>
      <c r="I101" s="4279" t="s">
        <v>4247</v>
      </c>
      <c r="J101" s="4280"/>
      <c r="K101" s="4280"/>
      <c r="L101" s="4281"/>
      <c r="M101" s="72">
        <v>20</v>
      </c>
      <c r="N101" s="172" t="s">
        <v>1893</v>
      </c>
      <c r="O101" s="2566">
        <v>20</v>
      </c>
      <c r="P101" s="2993"/>
      <c r="Q101" s="1295"/>
      <c r="R101" s="892" t="s">
        <v>4264</v>
      </c>
    </row>
    <row r="102" spans="1:21" s="101" customFormat="1" ht="12.75" customHeight="1">
      <c r="A102" s="137" t="s">
        <v>1895</v>
      </c>
      <c r="B102" s="163" t="s">
        <v>3416</v>
      </c>
      <c r="D102" s="961"/>
      <c r="F102" s="1317"/>
      <c r="H102" s="753" t="s">
        <v>3484</v>
      </c>
      <c r="I102" s="4282"/>
      <c r="J102" s="4283"/>
      <c r="K102" s="4283"/>
      <c r="L102" s="4284"/>
      <c r="M102" s="2667" t="s">
        <v>1192</v>
      </c>
      <c r="N102" s="439" t="s">
        <v>1895</v>
      </c>
      <c r="O102" s="2567">
        <v>0</v>
      </c>
      <c r="P102" s="2994"/>
      <c r="R102" s="892" t="s">
        <v>4264</v>
      </c>
    </row>
    <row r="103" spans="1:21" s="43" customFormat="1" ht="12.75" customHeight="1" thickBot="1">
      <c r="A103" s="42"/>
      <c r="B103" s="1007" t="s">
        <v>3373</v>
      </c>
      <c r="C103" s="42"/>
      <c r="D103" s="48"/>
      <c r="E103" s="48"/>
      <c r="F103" s="48"/>
      <c r="G103" s="48"/>
      <c r="H103" s="36"/>
      <c r="I103" s="4285"/>
      <c r="J103" s="4286"/>
      <c r="K103" s="4286"/>
      <c r="L103" s="4287"/>
      <c r="M103" s="46"/>
      <c r="N103" s="62"/>
      <c r="O103" s="3"/>
      <c r="P103" s="2652"/>
    </row>
    <row r="104" spans="1:21" s="43" customFormat="1" ht="90" customHeight="1" thickTop="1" thickBot="1">
      <c r="A104" s="4176" t="s">
        <v>6984</v>
      </c>
      <c r="B104" s="4177"/>
      <c r="C104" s="4177"/>
      <c r="D104" s="4177"/>
      <c r="E104" s="4177"/>
      <c r="F104" s="4177"/>
      <c r="G104" s="4177"/>
      <c r="H104" s="4177"/>
      <c r="I104" s="4177"/>
      <c r="J104" s="4177"/>
      <c r="K104" s="4177"/>
      <c r="L104" s="4177"/>
      <c r="M104" s="4177"/>
      <c r="N104" s="4177"/>
      <c r="O104" s="4177"/>
      <c r="P104" s="4178"/>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Atlanta Metro</v>
      </c>
      <c r="K108" s="1624" t="s">
        <v>367</v>
      </c>
      <c r="L108" s="1625" t="str">
        <f>M43</f>
        <v>New Supply</v>
      </c>
      <c r="M108" s="2650">
        <v>6</v>
      </c>
      <c r="N108" s="439"/>
      <c r="O108" s="1687">
        <f>MAX(O124,O131,O138)</f>
        <v>5</v>
      </c>
      <c r="P108" s="1687">
        <f>MAX(P124,P131,P138)</f>
        <v>0</v>
      </c>
      <c r="Q108" s="108" t="s">
        <v>422</v>
      </c>
      <c r="R108" s="4217" t="s">
        <v>4124</v>
      </c>
      <c r="S108" s="4218"/>
      <c r="T108" s="4218"/>
      <c r="U108" s="4219"/>
    </row>
    <row r="109" spans="1:21" s="43" customFormat="1" ht="17.25" customHeight="1">
      <c r="A109" s="151"/>
      <c r="B109" s="109" t="s">
        <v>3469</v>
      </c>
      <c r="D109" s="41"/>
      <c r="H109" s="163"/>
      <c r="M109" s="2650"/>
      <c r="N109" s="439"/>
      <c r="O109" s="891" t="s">
        <v>3271</v>
      </c>
      <c r="P109" s="891" t="s">
        <v>3272</v>
      </c>
      <c r="Q109" s="108"/>
      <c r="R109" s="4220"/>
      <c r="S109" s="4221"/>
      <c r="T109" s="4221"/>
      <c r="U109" s="4222"/>
    </row>
    <row r="110" spans="1:21" s="43" customFormat="1" ht="11.25" customHeight="1">
      <c r="A110" s="151"/>
      <c r="B110" s="365" t="s">
        <v>1896</v>
      </c>
      <c r="C110" s="36" t="s">
        <v>3984</v>
      </c>
      <c r="D110" s="961"/>
      <c r="E110" s="101"/>
      <c r="F110" s="101"/>
      <c r="G110" s="101"/>
      <c r="H110" s="45"/>
      <c r="I110" s="49"/>
      <c r="M110" s="2650"/>
      <c r="N110" s="439"/>
      <c r="O110" s="2492" t="s">
        <v>2769</v>
      </c>
      <c r="P110" s="2952"/>
      <c r="Q110" s="108"/>
      <c r="R110" s="4220"/>
      <c r="S110" s="4221"/>
      <c r="T110" s="4221"/>
      <c r="U110" s="4222"/>
    </row>
    <row r="111" spans="1:21" s="43" customFormat="1" ht="11.25" customHeight="1">
      <c r="A111" s="151"/>
      <c r="B111" s="365" t="s">
        <v>1898</v>
      </c>
      <c r="C111" s="36" t="s">
        <v>3985</v>
      </c>
      <c r="D111" s="961"/>
      <c r="E111" s="101"/>
      <c r="F111" s="101"/>
      <c r="G111" s="101"/>
      <c r="H111" s="45"/>
      <c r="I111" s="49"/>
      <c r="J111" s="48"/>
      <c r="K111" s="48"/>
      <c r="L111" s="101"/>
      <c r="M111" s="101"/>
      <c r="N111" s="439"/>
      <c r="O111" s="2669" t="s">
        <v>2769</v>
      </c>
      <c r="P111" s="2953"/>
      <c r="Q111" s="108"/>
      <c r="R111" s="4220"/>
      <c r="S111" s="4221"/>
      <c r="T111" s="4221"/>
      <c r="U111" s="4222"/>
    </row>
    <row r="112" spans="1:21" s="43" customFormat="1" ht="11.25" customHeight="1">
      <c r="A112" s="151"/>
      <c r="B112" s="365" t="s">
        <v>2416</v>
      </c>
      <c r="C112" s="36" t="s">
        <v>6385</v>
      </c>
      <c r="D112" s="961"/>
      <c r="E112" s="101"/>
      <c r="F112" s="101"/>
      <c r="G112" s="101"/>
      <c r="H112" s="45"/>
      <c r="I112" s="49"/>
      <c r="J112" s="48"/>
      <c r="K112" s="48"/>
      <c r="L112" s="101"/>
      <c r="M112" s="101"/>
      <c r="N112" s="439"/>
      <c r="O112" s="2669" t="s">
        <v>2769</v>
      </c>
      <c r="P112" s="2953"/>
      <c r="Q112" s="108"/>
      <c r="R112" s="4220"/>
      <c r="S112" s="4221"/>
      <c r="T112" s="4221"/>
      <c r="U112" s="4222"/>
    </row>
    <row r="113" spans="1:21" s="43" customFormat="1" ht="11.25" customHeight="1">
      <c r="A113" s="151"/>
      <c r="B113" s="365" t="s">
        <v>1178</v>
      </c>
      <c r="C113" s="36" t="s">
        <v>6386</v>
      </c>
      <c r="D113" s="961"/>
      <c r="E113" s="101"/>
      <c r="F113" s="101"/>
      <c r="G113" s="101"/>
      <c r="H113" s="45"/>
      <c r="I113" s="49"/>
      <c r="J113" s="48"/>
      <c r="K113" s="48"/>
      <c r="L113" s="101"/>
      <c r="M113" s="101"/>
      <c r="N113" s="439"/>
      <c r="O113" s="2669" t="s">
        <v>2769</v>
      </c>
      <c r="P113" s="2953"/>
      <c r="Q113" s="108"/>
      <c r="R113" s="4220"/>
      <c r="S113" s="4221"/>
      <c r="T113" s="4221"/>
      <c r="U113" s="4222"/>
    </row>
    <row r="114" spans="1:21" s="43" customFormat="1" ht="11.25" customHeight="1">
      <c r="A114" s="151"/>
      <c r="B114" s="365">
        <v>5</v>
      </c>
      <c r="C114" s="36" t="s">
        <v>6547</v>
      </c>
      <c r="D114" s="961"/>
      <c r="E114" s="101"/>
      <c r="F114" s="101"/>
      <c r="G114" s="101"/>
      <c r="H114" s="45"/>
      <c r="I114" s="49"/>
      <c r="J114" s="48"/>
      <c r="K114" s="48"/>
      <c r="L114" s="101"/>
      <c r="M114" s="101"/>
      <c r="N114" s="439"/>
      <c r="O114" s="2668" t="s">
        <v>2772</v>
      </c>
      <c r="P114" s="2954"/>
      <c r="Q114" s="108"/>
      <c r="R114" s="4220"/>
      <c r="S114" s="4221"/>
      <c r="T114" s="4221"/>
      <c r="U114" s="4222"/>
    </row>
    <row r="115" spans="1:21" s="43" customFormat="1" ht="3" customHeight="1">
      <c r="A115" s="151"/>
      <c r="B115" s="104"/>
      <c r="D115" s="41"/>
      <c r="H115" s="45"/>
      <c r="I115" s="49"/>
      <c r="J115" s="48"/>
      <c r="K115" s="48"/>
      <c r="M115" s="2650"/>
      <c r="N115" s="439"/>
      <c r="O115" s="3"/>
      <c r="P115" s="3"/>
      <c r="Q115" s="108"/>
      <c r="R115" s="4220"/>
      <c r="S115" s="4221"/>
      <c r="T115" s="4221"/>
      <c r="U115" s="4222"/>
    </row>
    <row r="116" spans="1:21" s="43" customFormat="1" ht="13.5" customHeight="1">
      <c r="A116" s="151"/>
      <c r="B116" s="109" t="s">
        <v>3473</v>
      </c>
      <c r="D116" s="41"/>
      <c r="F116" s="4237" t="s">
        <v>3347</v>
      </c>
      <c r="G116" s="4237"/>
      <c r="H116" s="4237"/>
      <c r="I116" s="4237"/>
      <c r="J116" s="4237" t="s">
        <v>3348</v>
      </c>
      <c r="K116" s="4237"/>
      <c r="L116" s="4237"/>
      <c r="M116" s="4237"/>
      <c r="N116" s="439"/>
      <c r="O116" s="4262" t="s">
        <v>4067</v>
      </c>
      <c r="P116" s="4263"/>
      <c r="Q116" s="108"/>
      <c r="R116" s="4220"/>
      <c r="S116" s="4221"/>
      <c r="T116" s="4221"/>
      <c r="U116" s="4222"/>
    </row>
    <row r="117" spans="1:21" s="43" customFormat="1" ht="12.75" customHeight="1">
      <c r="A117" s="151"/>
      <c r="C117" s="462" t="s">
        <v>3472</v>
      </c>
      <c r="D117" s="552"/>
      <c r="E117" s="265"/>
      <c r="F117" s="4226">
        <v>33.679437</v>
      </c>
      <c r="G117" s="4227"/>
      <c r="H117" s="4404"/>
      <c r="I117" s="4405"/>
      <c r="J117" s="4226">
        <v>-84.438890999999998</v>
      </c>
      <c r="K117" s="4227"/>
      <c r="L117" s="4404"/>
      <c r="M117" s="4405"/>
      <c r="N117" s="439"/>
      <c r="Q117" s="108"/>
      <c r="R117" s="4220"/>
      <c r="S117" s="4221"/>
      <c r="T117" s="4221"/>
      <c r="U117" s="4222"/>
    </row>
    <row r="118" spans="1:21" s="43" customFormat="1" ht="12.75" customHeight="1">
      <c r="A118" s="4415" t="s">
        <v>3542</v>
      </c>
      <c r="B118" s="4415"/>
      <c r="E118" s="1252" t="s">
        <v>6387</v>
      </c>
      <c r="F118" s="4277">
        <v>33.678097999999999</v>
      </c>
      <c r="G118" s="4278"/>
      <c r="H118" s="4416"/>
      <c r="I118" s="4417"/>
      <c r="J118" s="4277">
        <v>-84.440400999999994</v>
      </c>
      <c r="K118" s="4278"/>
      <c r="L118" s="4416"/>
      <c r="M118" s="4417"/>
      <c r="N118" s="439"/>
      <c r="O118" s="2568">
        <v>0.2</v>
      </c>
      <c r="P118" s="2995"/>
      <c r="Q118" s="108"/>
      <c r="R118" s="4220"/>
      <c r="S118" s="4221"/>
      <c r="T118" s="4221"/>
      <c r="U118" s="4222"/>
    </row>
    <row r="119" spans="1:21" s="43" customFormat="1" ht="12.75" customHeight="1">
      <c r="A119" s="4415"/>
      <c r="B119" s="4415"/>
      <c r="C119" s="462" t="s">
        <v>3516</v>
      </c>
      <c r="D119" s="552"/>
      <c r="E119" s="265"/>
      <c r="F119" s="4229"/>
      <c r="G119" s="4230"/>
      <c r="H119" s="4290"/>
      <c r="I119" s="4291"/>
      <c r="J119" s="4229"/>
      <c r="K119" s="4230"/>
      <c r="L119" s="4290"/>
      <c r="M119" s="4291"/>
      <c r="N119" s="439"/>
      <c r="O119" s="439"/>
      <c r="P119" s="439"/>
      <c r="Q119" s="108"/>
      <c r="R119" s="4220"/>
      <c r="S119" s="4221"/>
      <c r="T119" s="4221"/>
      <c r="U119" s="4222"/>
    </row>
    <row r="120" spans="1:21" s="43" customFormat="1" ht="12.75" customHeight="1">
      <c r="A120" s="4415"/>
      <c r="B120" s="4415"/>
      <c r="E120" s="1252" t="s">
        <v>3515</v>
      </c>
      <c r="F120" s="4238"/>
      <c r="G120" s="4239"/>
      <c r="H120" s="4288"/>
      <c r="I120" s="4289"/>
      <c r="J120" s="4238"/>
      <c r="K120" s="4239"/>
      <c r="L120" s="4288"/>
      <c r="M120" s="4289"/>
      <c r="N120" s="439"/>
      <c r="O120" s="2568"/>
      <c r="P120" s="2995"/>
      <c r="Q120" s="108"/>
      <c r="R120" s="4223"/>
      <c r="S120" s="4224"/>
      <c r="T120" s="4224"/>
      <c r="U120" s="4225"/>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6382</v>
      </c>
      <c r="B122" s="104"/>
      <c r="D122" s="41"/>
      <c r="F122" s="61" t="s">
        <v>6295</v>
      </c>
      <c r="I122" s="4418" t="str">
        <f>IF(AND(O124&gt;0,O131&gt;0),"Pick A or B, not both!","")</f>
        <v/>
      </c>
      <c r="J122" s="4418"/>
      <c r="K122" s="4418" t="str">
        <f>IF(AND(P124&gt;0,P131&gt;0),"Pick A or B, not both!","")</f>
        <v/>
      </c>
      <c r="L122" s="441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3369</v>
      </c>
      <c r="D124" s="41"/>
      <c r="F124" s="45" t="s">
        <v>3424</v>
      </c>
      <c r="M124" s="2650">
        <v>6</v>
      </c>
      <c r="N124" s="381" t="s">
        <v>1893</v>
      </c>
      <c r="O124" s="1688">
        <f>IF(OR($J$108="Atlanta Metro",$J$108="Other Metro"),MIN($M124,O126+O127),0)</f>
        <v>5</v>
      </c>
      <c r="P124" s="1688">
        <f>IF(OR($J$108="Atlanta Metro",$J$108="Other Metro"),MIN($M124,P126+P127),0)</f>
        <v>0</v>
      </c>
      <c r="Q124" s="108"/>
    </row>
    <row r="125" spans="1:21" s="43" customFormat="1" ht="12.6" customHeight="1">
      <c r="A125" s="142"/>
      <c r="B125" s="36" t="s">
        <v>6389</v>
      </c>
      <c r="D125" s="41"/>
      <c r="F125" s="45"/>
      <c r="M125" s="2650"/>
      <c r="N125" s="381"/>
      <c r="O125" s="2668" t="s">
        <v>2769</v>
      </c>
      <c r="P125" s="2954"/>
      <c r="Q125" s="108"/>
    </row>
    <row r="126" spans="1:21" s="401" customFormat="1" ht="36.75" customHeight="1">
      <c r="B126" s="423" t="s">
        <v>1896</v>
      </c>
      <c r="C126" s="3950" t="s">
        <v>6390</v>
      </c>
      <c r="D126" s="3950"/>
      <c r="E126" s="3950"/>
      <c r="F126" s="3950"/>
      <c r="G126" s="3950"/>
      <c r="H126" s="3950"/>
      <c r="I126" s="4406" t="s">
        <v>3514</v>
      </c>
      <c r="J126" s="4407"/>
      <c r="K126" s="4407"/>
      <c r="L126" s="4408"/>
      <c r="M126" s="479">
        <v>6</v>
      </c>
      <c r="N126" s="452" t="s">
        <v>1896</v>
      </c>
      <c r="O126" s="2569"/>
      <c r="P126" s="2996"/>
      <c r="Q126" s="1295"/>
      <c r="R126" s="892" t="s">
        <v>4264</v>
      </c>
    </row>
    <row r="127" spans="1:21" s="401" customFormat="1" ht="12" customHeight="1">
      <c r="A127" s="531" t="s">
        <v>1304</v>
      </c>
      <c r="B127" s="423" t="s">
        <v>1898</v>
      </c>
      <c r="C127" s="3950" t="s">
        <v>6384</v>
      </c>
      <c r="D127" s="3950"/>
      <c r="E127" s="3950"/>
      <c r="F127" s="3950"/>
      <c r="G127" s="534"/>
      <c r="I127" s="4409"/>
      <c r="J127" s="4410"/>
      <c r="K127" s="4410"/>
      <c r="L127" s="4411"/>
      <c r="M127" s="72">
        <v>5</v>
      </c>
      <c r="N127" s="421" t="s">
        <v>1898</v>
      </c>
      <c r="O127" s="2570">
        <v>5</v>
      </c>
      <c r="P127" s="2997"/>
      <c r="Q127" s="1295"/>
      <c r="R127" s="892" t="s">
        <v>4264</v>
      </c>
    </row>
    <row r="128" spans="1:21" s="401" customFormat="1" ht="12" customHeight="1">
      <c r="B128" s="423"/>
      <c r="C128" s="3950"/>
      <c r="D128" s="3950"/>
      <c r="E128" s="3950"/>
      <c r="F128" s="3950"/>
      <c r="G128" s="4120" t="s">
        <v>6388</v>
      </c>
      <c r="H128" s="4403"/>
      <c r="I128" s="4409"/>
      <c r="J128" s="4410"/>
      <c r="K128" s="4410"/>
      <c r="L128" s="4411"/>
      <c r="M128" s="4429" t="str">
        <f>IF(AND(O127&gt;0,O126&gt;0),"Pick A1 or A2!","")</f>
        <v/>
      </c>
      <c r="N128" s="4430"/>
      <c r="O128" s="4430"/>
      <c r="P128" s="4430"/>
      <c r="Q128" s="1295"/>
      <c r="R128" s="1260" t="s">
        <v>6566</v>
      </c>
      <c r="S128" s="1260" t="s">
        <v>6383</v>
      </c>
    </row>
    <row r="129" spans="1:21" s="401" customFormat="1" ht="12" customHeight="1">
      <c r="B129" s="423"/>
      <c r="C129" s="3950"/>
      <c r="D129" s="3950"/>
      <c r="E129" s="3950"/>
      <c r="F129" s="3950"/>
      <c r="G129" s="2571">
        <v>0.2</v>
      </c>
      <c r="H129" s="2998"/>
      <c r="I129" s="4409"/>
      <c r="J129" s="4410"/>
      <c r="K129" s="4410"/>
      <c r="L129" s="4411"/>
      <c r="Q129" s="895"/>
      <c r="R129" s="1626">
        <v>0.25</v>
      </c>
      <c r="S129" s="1626">
        <v>5</v>
      </c>
    </row>
    <row r="130" spans="1:21" s="401" customFormat="1" ht="12" customHeight="1">
      <c r="B130" s="423"/>
      <c r="C130" s="3950"/>
      <c r="D130" s="3950"/>
      <c r="E130" s="3950"/>
      <c r="F130" s="3950"/>
      <c r="G130" s="1673"/>
      <c r="H130" s="1673"/>
      <c r="I130" s="4412"/>
      <c r="J130" s="4413"/>
      <c r="K130" s="4413"/>
      <c r="L130" s="4414"/>
      <c r="M130" s="101"/>
      <c r="N130" s="101"/>
      <c r="O130" s="101"/>
      <c r="P130" s="101"/>
      <c r="Q130" s="895"/>
      <c r="R130" s="1626">
        <v>0.5</v>
      </c>
      <c r="S130" s="1626">
        <v>4.5</v>
      </c>
    </row>
    <row r="131" spans="1:21" s="401" customFormat="1" ht="12" customHeight="1">
      <c r="A131" s="142" t="s">
        <v>1895</v>
      </c>
      <c r="B131" s="972" t="s">
        <v>3370</v>
      </c>
      <c r="C131" s="573"/>
      <c r="D131" s="573"/>
      <c r="F131" s="959" t="s">
        <v>3423</v>
      </c>
      <c r="I131" s="4424" t="s">
        <v>6937</v>
      </c>
      <c r="J131" s="4425"/>
      <c r="K131" s="4425"/>
      <c r="L131" s="4248" t="s">
        <v>6938</v>
      </c>
      <c r="M131" s="2650">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426"/>
      <c r="J132" s="4427"/>
      <c r="K132" s="4427"/>
      <c r="L132" s="4249"/>
      <c r="M132" s="101"/>
      <c r="N132" s="378" t="s">
        <v>3394</v>
      </c>
      <c r="O132" s="2500"/>
      <c r="P132" s="2964"/>
      <c r="Q132" s="108"/>
      <c r="R132" s="380"/>
      <c r="S132" s="401"/>
      <c r="T132" s="401"/>
      <c r="U132" s="401"/>
    </row>
    <row r="133" spans="1:21" s="43" customFormat="1" ht="11.25" customHeight="1">
      <c r="A133" s="151"/>
      <c r="B133" s="378" t="s">
        <v>3395</v>
      </c>
      <c r="C133" s="170" t="s">
        <v>3982</v>
      </c>
      <c r="D133" s="961"/>
      <c r="F133" s="101"/>
      <c r="G133" s="101"/>
      <c r="H133" s="45"/>
      <c r="I133" s="4231" t="s">
        <v>6939</v>
      </c>
      <c r="J133" s="4232"/>
      <c r="K133" s="4232"/>
      <c r="L133" s="4233"/>
      <c r="M133" s="101"/>
      <c r="N133" s="378" t="s">
        <v>3395</v>
      </c>
      <c r="O133" s="2668"/>
      <c r="P133" s="2954"/>
      <c r="Q133" s="108"/>
      <c r="R133" s="380"/>
      <c r="S133" s="401"/>
      <c r="T133" s="401"/>
      <c r="U133" s="401"/>
    </row>
    <row r="134" spans="1:21" s="401" customFormat="1" ht="12" customHeight="1">
      <c r="A134" s="137"/>
      <c r="B134" s="1319" t="s">
        <v>1896</v>
      </c>
      <c r="C134" s="4164" t="s">
        <v>3470</v>
      </c>
      <c r="D134" s="4164"/>
      <c r="E134" s="4164"/>
      <c r="F134" s="4164"/>
      <c r="G134" s="4164"/>
      <c r="H134" s="4228"/>
      <c r="I134" s="4234"/>
      <c r="J134" s="4235"/>
      <c r="K134" s="4235"/>
      <c r="L134" s="4236"/>
      <c r="M134" s="72">
        <v>3</v>
      </c>
      <c r="N134" s="421" t="s">
        <v>1896</v>
      </c>
      <c r="O134" s="2563"/>
      <c r="P134" s="2999"/>
      <c r="Q134" s="895" t="str">
        <f>IF(OR($O134=$M134,$O134=0,$O134=""),"","*CHECK!*")</f>
        <v/>
      </c>
      <c r="R134" s="892" t="s">
        <v>4264</v>
      </c>
    </row>
    <row r="135" spans="1:21" s="43" customFormat="1" ht="12" customHeight="1">
      <c r="A135" s="531" t="s">
        <v>1304</v>
      </c>
      <c r="B135" s="1319" t="s">
        <v>1898</v>
      </c>
      <c r="C135" s="4164" t="s">
        <v>3471</v>
      </c>
      <c r="D135" s="4164"/>
      <c r="E135" s="4164"/>
      <c r="F135" s="4164"/>
      <c r="G135" s="4164"/>
      <c r="H135" s="4228"/>
      <c r="I135" s="4231" t="s">
        <v>6940</v>
      </c>
      <c r="J135" s="4232"/>
      <c r="K135" s="4232"/>
      <c r="L135" s="4233"/>
      <c r="M135" s="72">
        <v>2</v>
      </c>
      <c r="N135" s="421" t="s">
        <v>1898</v>
      </c>
      <c r="O135" s="2563"/>
      <c r="P135" s="2989"/>
      <c r="Q135" s="895" t="str">
        <f>IF(OR($O135=$M135,$O135=0,$O135=""),"","*CHECK!*")</f>
        <v/>
      </c>
      <c r="R135" s="892" t="s">
        <v>4264</v>
      </c>
    </row>
    <row r="136" spans="1:21" s="43" customFormat="1" ht="21.75" customHeight="1">
      <c r="A136" s="1715" t="s">
        <v>1304</v>
      </c>
      <c r="B136" s="1716" t="s">
        <v>2416</v>
      </c>
      <c r="C136" s="3950" t="s">
        <v>6548</v>
      </c>
      <c r="D136" s="3950"/>
      <c r="E136" s="3950"/>
      <c r="F136" s="3950"/>
      <c r="G136" s="3950"/>
      <c r="H136" s="3976"/>
      <c r="I136" s="4234"/>
      <c r="J136" s="4235"/>
      <c r="K136" s="4235"/>
      <c r="L136" s="4236"/>
      <c r="M136" s="479">
        <v>1</v>
      </c>
      <c r="N136" s="452" t="s">
        <v>2416</v>
      </c>
      <c r="O136" s="2572"/>
      <c r="P136" s="3000"/>
      <c r="Q136" s="895" t="str">
        <f>IF(OR($O136=$M136,$O136=0,$O136=""),"","*CHECK!*")</f>
        <v/>
      </c>
      <c r="R136" s="892" t="s">
        <v>4264</v>
      </c>
    </row>
    <row r="137" spans="1:21" s="43" customFormat="1" ht="12.6" customHeight="1">
      <c r="A137" s="483" t="s">
        <v>2608</v>
      </c>
      <c r="B137" s="163"/>
      <c r="E137" s="41"/>
      <c r="I137" s="4231" t="s">
        <v>6940</v>
      </c>
      <c r="J137" s="4232"/>
      <c r="K137" s="4232"/>
      <c r="L137" s="4233"/>
      <c r="M137" s="72"/>
      <c r="N137" s="72"/>
      <c r="O137" s="72"/>
      <c r="P137" s="72"/>
      <c r="Q137" s="367"/>
      <c r="R137" s="367"/>
    </row>
    <row r="138" spans="1:21" s="101" customFormat="1" ht="12" customHeight="1">
      <c r="A138" s="137"/>
      <c r="B138" s="423" t="s">
        <v>1178</v>
      </c>
      <c r="C138" s="163" t="s">
        <v>6391</v>
      </c>
      <c r="D138" s="163"/>
      <c r="E138" s="163"/>
      <c r="F138" s="163"/>
      <c r="G138" s="163"/>
      <c r="H138" s="163"/>
      <c r="I138" s="4331"/>
      <c r="J138" s="4332"/>
      <c r="K138" s="4332"/>
      <c r="L138" s="4333"/>
      <c r="M138" s="72">
        <v>2</v>
      </c>
      <c r="N138" s="421" t="s">
        <v>1178</v>
      </c>
      <c r="O138" s="2573"/>
      <c r="P138" s="3001"/>
      <c r="Q138" s="895" t="str">
        <f>IF(OR($O138=$M138,$O138=0,$O138=""),"","*CHECK!*")</f>
        <v/>
      </c>
      <c r="R138" s="892" t="s">
        <v>4264</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95.1" customHeight="1" thickTop="1" thickBot="1">
      <c r="A142" s="4176" t="s">
        <v>6941</v>
      </c>
      <c r="B142" s="4177"/>
      <c r="C142" s="4177"/>
      <c r="D142" s="4177"/>
      <c r="E142" s="4177"/>
      <c r="F142" s="4177"/>
      <c r="G142" s="4177"/>
      <c r="H142" s="4177"/>
      <c r="I142" s="4177"/>
      <c r="J142" s="4177"/>
      <c r="K142" s="4177"/>
      <c r="L142" s="4177"/>
      <c r="M142" s="4177"/>
      <c r="N142" s="4177"/>
      <c r="O142" s="4177"/>
      <c r="P142" s="4178"/>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6393</v>
      </c>
      <c r="C147" s="2653"/>
      <c r="D147" s="2653"/>
      <c r="E147" s="2653"/>
      <c r="G147" s="1707" t="s">
        <v>3986</v>
      </c>
      <c r="H147" s="1708" t="str">
        <f>'Part I-Project Information'!$H$77</f>
        <v>Family</v>
      </c>
      <c r="M147" s="777">
        <v>3</v>
      </c>
      <c r="N147" s="74"/>
      <c r="O147" s="2574">
        <v>1.5</v>
      </c>
      <c r="P147" s="3002"/>
      <c r="Q147" s="1295" t="str">
        <f>IF(OR($O147&lt;=$M147,$O147=0,$O147=""),"","*CHECK!*")</f>
        <v/>
      </c>
      <c r="R147" s="1690" t="s">
        <v>422</v>
      </c>
      <c r="S147" s="892" t="s">
        <v>4264</v>
      </c>
    </row>
    <row r="148" spans="1:19" ht="18.75" customHeight="1">
      <c r="C148" s="2575" t="s">
        <v>6562</v>
      </c>
      <c r="F148" s="2575"/>
      <c r="G148" s="2575"/>
      <c r="H148" s="2575"/>
      <c r="I148" s="2576"/>
      <c r="J148" s="2577"/>
      <c r="K148" s="2578"/>
      <c r="L148" s="2579"/>
      <c r="M148" s="2561"/>
      <c r="N148" s="27"/>
      <c r="O148" s="27"/>
      <c r="P148" s="27"/>
    </row>
    <row r="149" spans="1:19" ht="12" customHeight="1">
      <c r="B149" s="2580"/>
      <c r="C149" s="2580"/>
      <c r="D149" s="2580"/>
      <c r="E149" s="2580"/>
      <c r="H149" s="4423" t="s">
        <v>6572</v>
      </c>
      <c r="I149" s="4423"/>
      <c r="J149" s="4423"/>
      <c r="K149" s="4423" t="s">
        <v>6573</v>
      </c>
      <c r="L149" s="4423"/>
      <c r="M149" s="2561"/>
      <c r="N149" s="27"/>
    </row>
    <row r="150" spans="1:19" ht="12" customHeight="1">
      <c r="B150" s="2580"/>
      <c r="C150" s="2580"/>
      <c r="D150" s="2580"/>
      <c r="E150" s="2580"/>
      <c r="H150" s="4423"/>
      <c r="I150" s="4423"/>
      <c r="J150" s="4423"/>
      <c r="K150" s="4423"/>
      <c r="L150" s="4423"/>
      <c r="M150" s="2561"/>
      <c r="N150" s="27"/>
    </row>
    <row r="151" spans="1:19" ht="12" customHeight="1">
      <c r="B151" s="2561"/>
      <c r="C151" s="2581" t="s">
        <v>6836</v>
      </c>
      <c r="D151" s="1674"/>
      <c r="E151" s="2561"/>
      <c r="H151" s="4423"/>
      <c r="I151" s="4423"/>
      <c r="J151" s="4423"/>
      <c r="K151" s="4423"/>
      <c r="L151" s="4423"/>
      <c r="M151" s="2561"/>
      <c r="N151" s="27"/>
    </row>
    <row r="152" spans="1:19">
      <c r="B152" s="2582"/>
      <c r="C152" s="4338" t="s">
        <v>6942</v>
      </c>
      <c r="D152" s="4339"/>
      <c r="E152" s="4339"/>
      <c r="F152" s="4339"/>
      <c r="G152" s="4340"/>
      <c r="H152" s="4255"/>
      <c r="I152" s="4255"/>
      <c r="J152" s="4255"/>
      <c r="K152" s="4255" t="s">
        <v>2769</v>
      </c>
      <c r="L152" s="4255"/>
      <c r="M152" s="2958"/>
      <c r="N152" s="27"/>
    </row>
    <row r="153" spans="1:19">
      <c r="B153" s="2582"/>
      <c r="C153" s="4335" t="s">
        <v>6943</v>
      </c>
      <c r="D153" s="4336"/>
      <c r="E153" s="4336"/>
      <c r="F153" s="4336"/>
      <c r="G153" s="4337"/>
      <c r="H153" s="4175"/>
      <c r="I153" s="4175"/>
      <c r="J153" s="4175"/>
      <c r="K153" s="4175" t="s">
        <v>2769</v>
      </c>
      <c r="L153" s="4175"/>
      <c r="M153" s="2953"/>
      <c r="N153" s="27"/>
    </row>
    <row r="154" spans="1:19" ht="15">
      <c r="B154" s="2582"/>
      <c r="C154" s="4335"/>
      <c r="D154" s="4336"/>
      <c r="E154" s="4336"/>
      <c r="F154" s="4336"/>
      <c r="G154" s="4337"/>
      <c r="H154" s="4175"/>
      <c r="I154" s="4175"/>
      <c r="J154" s="4175"/>
      <c r="K154" s="4175"/>
      <c r="L154" s="4175"/>
      <c r="M154" s="2953"/>
      <c r="N154" s="2561"/>
    </row>
    <row r="155" spans="1:19" ht="15">
      <c r="B155" s="2582"/>
      <c r="C155" s="4335"/>
      <c r="D155" s="4336"/>
      <c r="E155" s="4336"/>
      <c r="F155" s="4336"/>
      <c r="G155" s="4337"/>
      <c r="H155" s="4175"/>
      <c r="I155" s="4175"/>
      <c r="J155" s="4175"/>
      <c r="K155" s="4175"/>
      <c r="L155" s="4175"/>
      <c r="M155" s="2953"/>
      <c r="N155" s="2561"/>
    </row>
    <row r="156" spans="1:19" ht="15">
      <c r="B156" s="2582"/>
      <c r="C156" s="4335"/>
      <c r="D156" s="4336"/>
      <c r="E156" s="4336"/>
      <c r="F156" s="4336"/>
      <c r="G156" s="4337"/>
      <c r="H156" s="4175"/>
      <c r="I156" s="4175"/>
      <c r="J156" s="4175"/>
      <c r="K156" s="4175"/>
      <c r="L156" s="4175"/>
      <c r="M156" s="2953"/>
      <c r="N156" s="2561"/>
    </row>
    <row r="157" spans="1:19" ht="15">
      <c r="B157" s="2582"/>
      <c r="C157" s="4172"/>
      <c r="D157" s="4173"/>
      <c r="E157" s="4173"/>
      <c r="F157" s="4173"/>
      <c r="G157" s="4174"/>
      <c r="H157" s="4359"/>
      <c r="I157" s="4359"/>
      <c r="J157" s="4359"/>
      <c r="K157" s="4359"/>
      <c r="L157" s="4359"/>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1.75" customHeight="1" thickTop="1" thickBot="1">
      <c r="A159" s="4176" t="s">
        <v>6944</v>
      </c>
      <c r="B159" s="4177"/>
      <c r="C159" s="4177"/>
      <c r="D159" s="4177"/>
      <c r="E159" s="4177"/>
      <c r="F159" s="4177"/>
      <c r="G159" s="4177"/>
      <c r="H159" s="4177"/>
      <c r="I159" s="4177"/>
      <c r="J159" s="4177"/>
      <c r="K159" s="4177"/>
      <c r="L159" s="4177"/>
      <c r="M159" s="4177"/>
      <c r="N159" s="4177"/>
      <c r="O159" s="4177"/>
      <c r="P159" s="4178"/>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0">
        <v>7</v>
      </c>
      <c r="N163" s="7"/>
      <c r="O163" s="1735">
        <f>O165+O178</f>
        <v>7</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1896</v>
      </c>
      <c r="C166" s="133" t="s">
        <v>6571</v>
      </c>
      <c r="D166" s="163"/>
      <c r="E166" s="163"/>
      <c r="F166" s="163"/>
      <c r="G166" s="163"/>
      <c r="H166" s="163"/>
      <c r="I166" s="163"/>
      <c r="J166" s="163"/>
      <c r="K166" s="163"/>
      <c r="L166" s="163"/>
      <c r="M166" s="417">
        <v>2</v>
      </c>
      <c r="N166" s="903" t="s">
        <v>1658</v>
      </c>
      <c r="O166" s="2583">
        <v>2</v>
      </c>
      <c r="P166" s="3003"/>
      <c r="Q166" s="1295" t="str">
        <f>IF(OR($O166=$M166,$O166=0,$O166=""),"","*CHECK!*")</f>
        <v/>
      </c>
      <c r="R166" s="892" t="s">
        <v>4264</v>
      </c>
      <c r="S166" s="1712"/>
      <c r="T166" s="1712"/>
      <c r="U166" s="1712"/>
    </row>
    <row r="167" spans="1:26" s="383" customFormat="1" ht="12" customHeight="1">
      <c r="B167" s="903" t="s">
        <v>2324</v>
      </c>
      <c r="C167" s="4360" t="s">
        <v>6424</v>
      </c>
      <c r="D167" s="4360"/>
      <c r="E167" s="4360"/>
      <c r="F167" s="4360"/>
      <c r="G167" s="4360"/>
      <c r="H167" s="4360"/>
      <c r="I167" s="4360"/>
      <c r="J167" s="4360"/>
      <c r="K167" s="4360"/>
      <c r="L167" s="903"/>
      <c r="M167" s="4368" t="s">
        <v>6301</v>
      </c>
      <c r="N167" s="4368"/>
      <c r="O167" s="4368"/>
      <c r="P167" s="4368"/>
      <c r="S167" s="1712"/>
      <c r="T167" s="1712"/>
      <c r="U167" s="1712"/>
      <c r="V167" s="1408"/>
      <c r="W167" s="1408"/>
      <c r="X167" s="1408"/>
      <c r="Y167" s="1408"/>
      <c r="Z167" s="1408"/>
    </row>
    <row r="168" spans="1:26" s="43" customFormat="1" ht="12.75" customHeight="1">
      <c r="A168" s="364"/>
      <c r="B168" s="366"/>
      <c r="C168" s="4360"/>
      <c r="D168" s="4360"/>
      <c r="E168" s="4360"/>
      <c r="F168" s="4360"/>
      <c r="G168" s="4360"/>
      <c r="H168" s="4360"/>
      <c r="I168" s="4360"/>
      <c r="J168" s="4360"/>
      <c r="K168" s="4360"/>
      <c r="L168" s="903" t="s">
        <v>2324</v>
      </c>
      <c r="M168" s="4364">
        <v>6</v>
      </c>
      <c r="N168" s="4365"/>
      <c r="O168" s="4365"/>
      <c r="P168" s="4366"/>
      <c r="S168" s="1712"/>
      <c r="T168" s="1712"/>
      <c r="U168" s="1712"/>
    </row>
    <row r="169" spans="1:26" s="33" customFormat="1" ht="12.75" customHeight="1">
      <c r="B169" s="366" t="s">
        <v>2325</v>
      </c>
      <c r="C169" s="133" t="s">
        <v>4158</v>
      </c>
      <c r="D169" s="463"/>
      <c r="E169" s="463"/>
      <c r="F169" s="463"/>
      <c r="G169" s="463"/>
      <c r="H169" s="463"/>
      <c r="L169" s="366" t="s">
        <v>2325</v>
      </c>
      <c r="M169" s="4361" t="s">
        <v>6945</v>
      </c>
      <c r="N169" s="4362"/>
      <c r="O169" s="4362"/>
      <c r="P169" s="4363"/>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361" t="s">
        <v>6946</v>
      </c>
      <c r="N170" s="4362"/>
      <c r="O170" s="4362"/>
      <c r="P170" s="436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356" t="s">
        <v>6947</v>
      </c>
      <c r="N171" s="4357"/>
      <c r="O171" s="4357"/>
      <c r="P171" s="435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6549</v>
      </c>
      <c r="D173" s="1491"/>
      <c r="E173" s="1491"/>
      <c r="F173" s="1491"/>
      <c r="G173" s="1491"/>
      <c r="H173" s="1491"/>
      <c r="I173" s="1491"/>
      <c r="K173" s="1004"/>
      <c r="L173" s="1004"/>
      <c r="R173" s="1712"/>
      <c r="S173" s="1712"/>
      <c r="T173" s="1712"/>
      <c r="U173" s="1712"/>
    </row>
    <row r="174" spans="1:26">
      <c r="A174" s="478"/>
      <c r="B174" s="903" t="s">
        <v>2324</v>
      </c>
      <c r="C174" s="4367" t="s">
        <v>6430</v>
      </c>
      <c r="D174" s="4367"/>
      <c r="E174" s="4367"/>
      <c r="F174" s="4367"/>
      <c r="G174" s="4367"/>
      <c r="H174" s="4367"/>
      <c r="I174" s="4367"/>
      <c r="J174" s="4367"/>
      <c r="K174" s="4367"/>
      <c r="L174" s="4367"/>
      <c r="M174" s="971">
        <v>1</v>
      </c>
      <c r="N174" s="903" t="s">
        <v>4284</v>
      </c>
      <c r="O174" s="2585">
        <v>1</v>
      </c>
      <c r="P174" s="3004"/>
      <c r="Q174" s="1295" t="str">
        <f>IF(OR($O174=$M174,$O174=0,$O174=""),"","*CHECK!*")</f>
        <v/>
      </c>
      <c r="R174" s="892" t="s">
        <v>4264</v>
      </c>
    </row>
    <row r="175" spans="1:26" ht="36.75" customHeight="1">
      <c r="A175" s="478"/>
      <c r="B175" s="379" t="s">
        <v>2325</v>
      </c>
      <c r="C175" s="4367" t="s">
        <v>6431</v>
      </c>
      <c r="D175" s="4367"/>
      <c r="E175" s="4367"/>
      <c r="F175" s="4367"/>
      <c r="G175" s="4367"/>
      <c r="H175" s="4367"/>
      <c r="I175" s="4367"/>
      <c r="J175" s="4367"/>
      <c r="K175" s="4367"/>
      <c r="L175" s="4367"/>
      <c r="M175" s="971">
        <v>1</v>
      </c>
      <c r="N175" s="903" t="s">
        <v>6563</v>
      </c>
      <c r="O175" s="2586">
        <v>1</v>
      </c>
      <c r="P175" s="3005"/>
      <c r="Q175" s="1295" t="str">
        <f>IF(OR($O175=$M175,$O175=0,$O175=""),"","*CHECK!*")</f>
        <v/>
      </c>
      <c r="R175" s="892" t="s">
        <v>4264</v>
      </c>
    </row>
    <row r="176" spans="1:26" ht="12" customHeight="1">
      <c r="A176" s="478"/>
      <c r="B176" s="366" t="s">
        <v>2326</v>
      </c>
      <c r="C176" s="898" t="s">
        <v>6565</v>
      </c>
      <c r="D176" s="902"/>
      <c r="E176" s="902"/>
      <c r="F176" s="902"/>
      <c r="G176" s="902"/>
      <c r="H176" s="902"/>
      <c r="I176" s="902"/>
      <c r="J176" s="902"/>
      <c r="K176" s="902"/>
      <c r="L176" s="902"/>
      <c r="M176" s="2662">
        <v>1</v>
      </c>
      <c r="N176" s="378" t="s">
        <v>6564</v>
      </c>
      <c r="O176" s="2587">
        <v>1</v>
      </c>
      <c r="P176" s="3006"/>
      <c r="Q176" s="1295" t="str">
        <f>IF(OR($O176=$M176,$O176=0,$O176=""),"","*CHECK!*")</f>
        <v/>
      </c>
      <c r="R176" s="892" t="s">
        <v>4264</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v>2</v>
      </c>
      <c r="P178" s="3007"/>
      <c r="Q178" s="895" t="str">
        <f>IF(OR($O178=$M178,$O178=0,$O178=""),"","*CHECK!*")</f>
        <v/>
      </c>
      <c r="R178" s="892" t="s">
        <v>4264</v>
      </c>
    </row>
    <row r="179" spans="1:23" s="101" customFormat="1" ht="10.5" customHeight="1" thickBot="1">
      <c r="A179" s="42"/>
      <c r="B179" s="1007" t="s">
        <v>3373</v>
      </c>
      <c r="C179" s="42"/>
      <c r="D179" s="48"/>
      <c r="E179" s="48"/>
      <c r="F179" s="48"/>
      <c r="G179" s="48"/>
      <c r="H179" s="36"/>
      <c r="I179" s="36"/>
      <c r="J179" s="36"/>
      <c r="K179" s="36"/>
      <c r="M179" s="46"/>
      <c r="N179" s="6"/>
      <c r="O179" s="3"/>
      <c r="P179" s="2650"/>
    </row>
    <row r="180" spans="1:23" s="43" customFormat="1" ht="160.5" customHeight="1" thickTop="1" thickBot="1">
      <c r="A180" s="4176" t="s">
        <v>6985</v>
      </c>
      <c r="B180" s="4177"/>
      <c r="C180" s="4177"/>
      <c r="D180" s="4177"/>
      <c r="E180" s="4177"/>
      <c r="F180" s="4177"/>
      <c r="G180" s="4177"/>
      <c r="H180" s="4177"/>
      <c r="I180" s="4177"/>
      <c r="J180" s="4177"/>
      <c r="K180" s="4177"/>
      <c r="L180" s="4177"/>
      <c r="M180" s="4177"/>
      <c r="N180" s="4177"/>
      <c r="O180" s="4177"/>
      <c r="P180" s="4178"/>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3487</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3827</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6550</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44"/>
    </row>
    <row r="188" spans="1:23" s="1407" customFormat="1" ht="12.75" customHeight="1">
      <c r="B188" s="423" t="s">
        <v>1896</v>
      </c>
      <c r="C188" s="4360" t="s">
        <v>6466</v>
      </c>
      <c r="D188" s="4360"/>
      <c r="E188" s="4360"/>
      <c r="F188" s="4360"/>
      <c r="G188" s="4360"/>
      <c r="H188" s="4360"/>
      <c r="I188" s="4360"/>
      <c r="J188" s="4360"/>
      <c r="K188" s="4360"/>
      <c r="L188" s="4360"/>
      <c r="M188" s="966" t="s">
        <v>719</v>
      </c>
      <c r="N188" s="381" t="s">
        <v>1896</v>
      </c>
      <c r="O188" s="2502"/>
      <c r="P188" s="2967"/>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67" t="s">
        <v>6470</v>
      </c>
      <c r="D190" s="4367"/>
      <c r="E190" s="4367"/>
      <c r="F190" s="4367"/>
      <c r="G190" s="4367"/>
      <c r="H190" s="4367"/>
      <c r="I190" s="4367"/>
      <c r="J190" s="4367"/>
      <c r="K190" s="4367"/>
      <c r="L190" s="4367"/>
      <c r="M190" s="899"/>
      <c r="N190" s="381" t="s">
        <v>2416</v>
      </c>
      <c r="O190" s="2665"/>
      <c r="P190" s="2962"/>
      <c r="Q190" s="901"/>
      <c r="V190" s="1008"/>
      <c r="W190" s="1008"/>
    </row>
    <row r="191" spans="1:23" ht="11.45" customHeight="1">
      <c r="A191" s="137" t="s">
        <v>2021</v>
      </c>
      <c r="B191" s="175" t="s">
        <v>6468</v>
      </c>
      <c r="D191" s="33"/>
      <c r="G191" s="449"/>
      <c r="N191" s="27"/>
      <c r="O191" s="485"/>
      <c r="P191" s="485"/>
      <c r="Q191" s="2644"/>
    </row>
    <row r="192" spans="1:23" s="1407" customFormat="1" ht="23.25" customHeight="1">
      <c r="B192" s="423" t="s">
        <v>1896</v>
      </c>
      <c r="C192" s="4360" t="s">
        <v>6471</v>
      </c>
      <c r="D192" s="4360"/>
      <c r="E192" s="4360"/>
      <c r="F192" s="4360"/>
      <c r="G192" s="4360"/>
      <c r="H192" s="4360"/>
      <c r="I192" s="4360"/>
      <c r="J192" s="4360"/>
      <c r="K192" s="4360"/>
      <c r="L192" s="4360"/>
      <c r="M192" s="966" t="s">
        <v>2021</v>
      </c>
      <c r="N192" s="381" t="s">
        <v>1896</v>
      </c>
      <c r="O192" s="2502"/>
      <c r="P192" s="2967"/>
      <c r="Q192" s="1013"/>
      <c r="V192" s="1669"/>
      <c r="W192" s="1669"/>
    </row>
    <row r="193" spans="1:24" s="33" customFormat="1" ht="23.25" customHeight="1">
      <c r="A193" s="478"/>
      <c r="B193" s="423" t="s">
        <v>1898</v>
      </c>
      <c r="C193" s="4367" t="s">
        <v>6551</v>
      </c>
      <c r="D193" s="4367"/>
      <c r="E193" s="4367"/>
      <c r="F193" s="4367"/>
      <c r="G193" s="4367"/>
      <c r="H193" s="4367"/>
      <c r="I193" s="4367"/>
      <c r="J193" s="4367"/>
      <c r="K193" s="4367"/>
      <c r="L193" s="4367"/>
      <c r="M193" s="848"/>
      <c r="N193" s="381" t="s">
        <v>1898</v>
      </c>
      <c r="O193" s="2665"/>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371" t="s">
        <v>6935</v>
      </c>
      <c r="B195" s="4372"/>
      <c r="C195" s="4372"/>
      <c r="D195" s="4372"/>
      <c r="E195" s="4372"/>
      <c r="F195" s="4372"/>
      <c r="G195" s="4372"/>
      <c r="H195" s="4372"/>
      <c r="I195" s="4372"/>
      <c r="J195" s="4372"/>
      <c r="K195" s="4372"/>
      <c r="L195" s="4372"/>
      <c r="M195" s="4372"/>
      <c r="N195" s="4372"/>
      <c r="O195" s="4372"/>
      <c r="P195" s="4373"/>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35" customHeight="1">
      <c r="A197" s="4292"/>
      <c r="B197" s="4293"/>
      <c r="C197" s="4293"/>
      <c r="D197" s="4293"/>
      <c r="E197" s="4293"/>
      <c r="F197" s="4293"/>
      <c r="G197" s="4293"/>
      <c r="H197" s="4293"/>
      <c r="I197" s="4293"/>
      <c r="J197" s="4293"/>
      <c r="K197" s="4293"/>
      <c r="L197" s="4293"/>
      <c r="M197" s="4293"/>
      <c r="N197" s="4293"/>
      <c r="O197" s="4293"/>
      <c r="P197" s="4294"/>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0</v>
      </c>
      <c r="P199" s="944">
        <f>MIN($M$199,P201+P205)</f>
        <v>0</v>
      </c>
      <c r="Q199" s="108" t="s">
        <v>422</v>
      </c>
      <c r="R199" s="892" t="s">
        <v>4264</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c r="P201" s="3007"/>
      <c r="Q201" s="1295" t="str">
        <f>IF(O201&lt;=M201,"","*CHECK!*")</f>
        <v/>
      </c>
      <c r="R201" s="892" t="s">
        <v>4264</v>
      </c>
      <c r="S201" s="1714"/>
      <c r="T201" s="1714"/>
      <c r="U201" s="1714"/>
    </row>
    <row r="202" spans="1:24" ht="12.75" customHeight="1">
      <c r="B202" s="2589"/>
      <c r="C202" s="133" t="s">
        <v>6552</v>
      </c>
      <c r="D202" s="2590"/>
      <c r="E202" s="2591"/>
      <c r="F202" s="2591"/>
      <c r="G202" s="2590"/>
      <c r="H202" s="2590"/>
      <c r="I202" s="2590"/>
      <c r="J202" s="4397"/>
      <c r="K202" s="4398"/>
      <c r="L202" s="4399"/>
      <c r="M202" s="4400"/>
      <c r="N202" s="967"/>
      <c r="R202" s="416"/>
      <c r="S202" s="2590"/>
    </row>
    <row r="203" spans="1:24" ht="12.75" customHeight="1">
      <c r="C203" s="2592" t="s">
        <v>6553</v>
      </c>
      <c r="D203" s="418"/>
      <c r="J203" s="4394"/>
      <c r="K203" s="4395"/>
      <c r="L203" s="4395"/>
      <c r="M203" s="439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6534</v>
      </c>
      <c r="H205" s="2593" t="s">
        <v>6506</v>
      </c>
      <c r="K205" s="378"/>
      <c r="L205" s="378"/>
      <c r="M205" s="967">
        <v>5</v>
      </c>
      <c r="N205" s="378" t="s">
        <v>1895</v>
      </c>
      <c r="O205" s="2573"/>
      <c r="P205" s="3007"/>
      <c r="Q205" s="1295" t="str">
        <f>IF(O205&lt;=M205,"","*CHECK!*")</f>
        <v/>
      </c>
      <c r="R205" s="892" t="s">
        <v>4264</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393" t="s">
        <v>6477</v>
      </c>
      <c r="G207" s="4393"/>
      <c r="H207" s="4393"/>
      <c r="I207" s="4393"/>
      <c r="J207" s="4393"/>
      <c r="K207" s="4393"/>
      <c r="L207" s="4393"/>
      <c r="M207" s="418"/>
      <c r="N207" s="27"/>
      <c r="O207" s="27"/>
      <c r="P207" s="27"/>
    </row>
    <row r="208" spans="1:24" ht="13.5" customHeight="1">
      <c r="B208" s="484"/>
      <c r="C208" s="418"/>
      <c r="D208" s="133" t="s">
        <v>6475</v>
      </c>
      <c r="E208" s="133"/>
      <c r="F208" s="4384"/>
      <c r="G208" s="4385"/>
      <c r="H208" s="4385"/>
      <c r="I208" s="4386"/>
      <c r="J208" s="4390"/>
      <c r="K208" s="4391"/>
      <c r="L208" s="4391"/>
      <c r="M208" s="4392"/>
      <c r="N208" s="27"/>
    </row>
    <row r="209" spans="1:22" ht="13.5" customHeight="1">
      <c r="C209" s="418"/>
      <c r="D209" s="133" t="s">
        <v>6476</v>
      </c>
      <c r="E209" s="133"/>
      <c r="F209" s="4380"/>
      <c r="G209" s="4381"/>
      <c r="H209" s="4381"/>
      <c r="I209" s="4382"/>
      <c r="J209" s="4347"/>
      <c r="K209" s="4348"/>
      <c r="L209" s="4348"/>
      <c r="M209" s="4349"/>
      <c r="N209" s="2599" t="str">
        <f>IF(P205&lt;=N205,"","*CHECK!*")</f>
        <v/>
      </c>
    </row>
    <row r="210" spans="1:22" ht="13.5" customHeight="1">
      <c r="B210" s="484"/>
      <c r="C210" s="418"/>
      <c r="D210" s="133" t="s">
        <v>6473</v>
      </c>
      <c r="E210" s="133"/>
      <c r="F210" s="4380"/>
      <c r="G210" s="4381"/>
      <c r="H210" s="4381"/>
      <c r="I210" s="4382"/>
      <c r="J210" s="4347"/>
      <c r="K210" s="4348"/>
      <c r="L210" s="4348"/>
      <c r="M210" s="4349"/>
      <c r="N210" s="27"/>
    </row>
    <row r="211" spans="1:22" ht="13.5" customHeight="1">
      <c r="B211" s="418"/>
      <c r="C211" s="418"/>
      <c r="D211" s="133" t="s">
        <v>6474</v>
      </c>
      <c r="E211" s="133"/>
      <c r="F211" s="4377"/>
      <c r="G211" s="4378"/>
      <c r="H211" s="4378"/>
      <c r="I211" s="4379"/>
      <c r="J211" s="4344"/>
      <c r="K211" s="4345"/>
      <c r="L211" s="4345"/>
      <c r="M211" s="4346"/>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5.1" customHeight="1" thickTop="1" thickBot="1">
      <c r="A215" s="4176" t="s">
        <v>6935</v>
      </c>
      <c r="B215" s="4177"/>
      <c r="C215" s="4177"/>
      <c r="D215" s="4177"/>
      <c r="E215" s="4177"/>
      <c r="F215" s="4177"/>
      <c r="G215" s="4177"/>
      <c r="H215" s="4177"/>
      <c r="I215" s="4177"/>
      <c r="J215" s="4177"/>
      <c r="K215" s="4177"/>
      <c r="L215" s="4177"/>
      <c r="M215" s="4177"/>
      <c r="N215" s="4177"/>
      <c r="O215" s="4177"/>
      <c r="P215" s="4178"/>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292"/>
      <c r="B218" s="4293"/>
      <c r="C218" s="4293"/>
      <c r="D218" s="4293"/>
      <c r="E218" s="4293"/>
      <c r="F218" s="4293"/>
      <c r="G218" s="4293"/>
      <c r="H218" s="4293"/>
      <c r="I218" s="4293"/>
      <c r="J218" s="4293"/>
      <c r="K218" s="4293"/>
      <c r="L218" s="4293"/>
      <c r="M218" s="4293"/>
      <c r="N218" s="4293"/>
      <c r="O218" s="4293"/>
      <c r="P218" s="429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4238</v>
      </c>
      <c r="C220" s="404"/>
      <c r="E220" s="115"/>
      <c r="G220" s="1706" t="s">
        <v>6542</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6543</v>
      </c>
      <c r="D221" s="39"/>
      <c r="E221" s="36"/>
      <c r="F221" s="777"/>
      <c r="G221" s="2662" t="s">
        <v>3274</v>
      </c>
      <c r="H221" s="1277">
        <f>IF('Part VI-Revenues &amp; Expenses'!$P$67=0,0,'Part VI-Revenues &amp; Expenses'!$P$64/'Part VI-Revenues &amp; Expenses'!$P$67)</f>
        <v>0</v>
      </c>
      <c r="J221" s="449" t="s">
        <v>4161</v>
      </c>
      <c r="K221" s="4270" t="str">
        <f>'Part I-Project Information'!$K$94</f>
        <v>Income Averaging</v>
      </c>
      <c r="L221" s="4271"/>
      <c r="M221" s="60"/>
      <c r="N221" s="777"/>
      <c r="O221" s="2652"/>
      <c r="P221" s="3"/>
    </row>
    <row r="222" spans="1:22" ht="12" customHeight="1">
      <c r="A222" s="1401" t="s">
        <v>1893</v>
      </c>
      <c r="B222" s="1404" t="s">
        <v>4159</v>
      </c>
      <c r="C222" s="404"/>
      <c r="D222" s="418" t="s">
        <v>4160</v>
      </c>
      <c r="M222" s="72">
        <v>1</v>
      </c>
      <c r="N222" s="439" t="s">
        <v>1893</v>
      </c>
      <c r="O222" s="2600"/>
      <c r="P222" s="3009"/>
      <c r="Q222" s="895" t="str">
        <f>IF(OR($O222=$M222,$O222=0,$O222=""),"","*CHECK!*")</f>
        <v/>
      </c>
      <c r="R222" s="892" t="s">
        <v>4264</v>
      </c>
    </row>
    <row r="223" spans="1:22" ht="12" customHeight="1">
      <c r="A223" s="1401" t="s">
        <v>1895</v>
      </c>
      <c r="B223" s="1404" t="s">
        <v>3976</v>
      </c>
      <c r="C223" s="404"/>
      <c r="D223" s="418" t="s">
        <v>4243</v>
      </c>
      <c r="M223" s="80">
        <v>1</v>
      </c>
      <c r="N223" s="439" t="s">
        <v>1895</v>
      </c>
      <c r="O223" s="2564">
        <v>1</v>
      </c>
      <c r="P223" s="2990"/>
      <c r="Q223" s="895" t="str">
        <f>IF(OR($O223=$M223,$O223=0,$O223=""),"","*CHECK!*")</f>
        <v/>
      </c>
      <c r="R223" s="892" t="s">
        <v>4264</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292"/>
      <c r="B226" s="4293"/>
      <c r="C226" s="4293"/>
      <c r="D226" s="4293"/>
      <c r="E226" s="4293"/>
      <c r="F226" s="4293"/>
      <c r="G226" s="4293"/>
      <c r="H226" s="4293"/>
      <c r="I226" s="4293"/>
      <c r="J226" s="4293"/>
      <c r="K226" s="4293"/>
      <c r="L226" s="4293"/>
      <c r="M226" s="4293"/>
      <c r="N226" s="4293"/>
      <c r="O226" s="4293"/>
      <c r="P226" s="429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3397</v>
      </c>
      <c r="D230" s="558"/>
      <c r="E230" s="558"/>
      <c r="F230" s="558"/>
      <c r="G230" s="558"/>
      <c r="H230" s="558"/>
      <c r="L230" s="904"/>
      <c r="M230" s="4375"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3398</v>
      </c>
      <c r="D231" s="558"/>
      <c r="L231" s="904"/>
      <c r="M231" s="4375"/>
      <c r="N231" s="439" t="s">
        <v>1895</v>
      </c>
      <c r="O231" s="2668"/>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5.1" customHeight="1" thickTop="1" thickBot="1">
      <c r="A233" s="4176" t="s">
        <v>6935</v>
      </c>
      <c r="B233" s="4177"/>
      <c r="C233" s="4177"/>
      <c r="D233" s="4177"/>
      <c r="E233" s="4177"/>
      <c r="F233" s="4177"/>
      <c r="G233" s="4177"/>
      <c r="H233" s="4177"/>
      <c r="I233" s="4177"/>
      <c r="J233" s="4177"/>
      <c r="K233" s="4177"/>
      <c r="L233" s="4177"/>
      <c r="M233" s="4177"/>
      <c r="N233" s="4177"/>
      <c r="O233" s="4177"/>
      <c r="P233" s="4178"/>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292"/>
      <c r="B235" s="4293"/>
      <c r="C235" s="4293"/>
      <c r="D235" s="4293"/>
      <c r="E235" s="4293"/>
      <c r="F235" s="4293"/>
      <c r="G235" s="4293"/>
      <c r="H235" s="4293"/>
      <c r="I235" s="4293"/>
      <c r="J235" s="4293"/>
      <c r="K235" s="4293"/>
      <c r="L235" s="4293"/>
      <c r="M235" s="4293"/>
      <c r="N235" s="4293"/>
      <c r="O235" s="4293"/>
      <c r="P235" s="429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4240</v>
      </c>
      <c r="D237" s="41"/>
      <c r="E237" s="41"/>
      <c r="F237" s="41"/>
      <c r="G237" s="41"/>
      <c r="H237" s="41"/>
      <c r="I237" s="41"/>
      <c r="J237" s="41"/>
      <c r="K237" s="41"/>
      <c r="L237" s="41"/>
      <c r="M237" s="2650">
        <v>3</v>
      </c>
      <c r="N237" s="6"/>
      <c r="O237" s="944"/>
      <c r="P237" s="965"/>
      <c r="Q237" s="108" t="s">
        <v>422</v>
      </c>
      <c r="R237" s="892" t="s">
        <v>4264</v>
      </c>
      <c r="S237" s="923"/>
      <c r="T237" s="923"/>
      <c r="U237" s="923"/>
      <c r="V237" s="923"/>
      <c r="W237" s="1495"/>
      <c r="X237" s="1495"/>
    </row>
    <row r="238" spans="1:27" s="99" customFormat="1" ht="11.25">
      <c r="A238" s="423"/>
      <c r="B238" s="898" t="s">
        <v>6554</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6555</v>
      </c>
      <c r="E239" s="419" t="s">
        <v>3453</v>
      </c>
      <c r="G239" s="2601"/>
      <c r="H239" s="378" t="s">
        <v>587</v>
      </c>
      <c r="I239" s="4334"/>
      <c r="J239" s="4334"/>
      <c r="L239" s="2602" t="s">
        <v>6557</v>
      </c>
      <c r="M239" s="4179"/>
      <c r="N239" s="4179"/>
    </row>
    <row r="240" spans="1:27" s="116" customFormat="1" ht="11.25" customHeight="1">
      <c r="A240" s="365"/>
      <c r="B240" s="423" t="s">
        <v>1898</v>
      </c>
      <c r="C240" s="133" t="s">
        <v>6556</v>
      </c>
      <c r="E240" s="419" t="s">
        <v>3453</v>
      </c>
      <c r="G240" s="2603"/>
      <c r="H240" s="378" t="s">
        <v>587</v>
      </c>
      <c r="I240" s="4376"/>
      <c r="J240" s="4376"/>
      <c r="L240" s="2602" t="s">
        <v>6557</v>
      </c>
      <c r="M240" s="4383"/>
      <c r="N240" s="4383"/>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176" t="s">
        <v>6986</v>
      </c>
      <c r="B243" s="4177"/>
      <c r="C243" s="4177"/>
      <c r="D243" s="4177"/>
      <c r="E243" s="4177"/>
      <c r="F243" s="4177"/>
      <c r="G243" s="4177"/>
      <c r="H243" s="4177"/>
      <c r="I243" s="4177"/>
      <c r="J243" s="4177"/>
      <c r="K243" s="4177"/>
      <c r="L243" s="4177"/>
      <c r="M243" s="4177"/>
      <c r="N243" s="4177"/>
      <c r="O243" s="4177"/>
      <c r="P243" s="4178"/>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4162</v>
      </c>
      <c r="D247" s="41"/>
      <c r="E247" s="55" t="s">
        <v>6568</v>
      </c>
      <c r="G247" s="61"/>
      <c r="M247" s="2650">
        <v>5</v>
      </c>
      <c r="N247" s="6"/>
      <c r="O247" s="944">
        <f>MIN($M247,MAX(O248,O249,O250))</f>
        <v>3</v>
      </c>
      <c r="P247" s="944">
        <f>MIN($M247,MAX(P248,P249,P250))</f>
        <v>0</v>
      </c>
      <c r="Q247" s="108" t="s">
        <v>422</v>
      </c>
      <c r="R247" s="892" t="s">
        <v>4264</v>
      </c>
      <c r="S247" s="1724"/>
      <c r="T247" s="1724"/>
      <c r="U247" s="1724"/>
      <c r="V247" s="1724"/>
      <c r="W247" s="1495"/>
      <c r="X247" s="1495"/>
    </row>
    <row r="248" spans="1:24" s="33" customFormat="1" ht="11.25" customHeight="1">
      <c r="A248" s="137" t="s">
        <v>1893</v>
      </c>
      <c r="B248" s="175" t="s">
        <v>6567</v>
      </c>
      <c r="D248" s="532"/>
      <c r="M248" s="7">
        <v>5</v>
      </c>
      <c r="N248" s="439" t="s">
        <v>1893</v>
      </c>
      <c r="O248" s="2604"/>
      <c r="P248" s="3010"/>
      <c r="Q248" s="895" t="str">
        <f>IF(OR($O248=$M248,$O248=$M248-1,$O248=0,$O248=""),"","*CHECK!*")</f>
        <v/>
      </c>
      <c r="R248" s="892" t="s">
        <v>4264</v>
      </c>
      <c r="S248" s="1724"/>
      <c r="T248" s="1724"/>
      <c r="U248" s="1724"/>
      <c r="V248" s="1724"/>
    </row>
    <row r="249" spans="1:24" s="33" customFormat="1" ht="11.25" customHeight="1">
      <c r="A249" s="137" t="s">
        <v>1895</v>
      </c>
      <c r="B249" s="175" t="s">
        <v>6569</v>
      </c>
      <c r="D249" s="532"/>
      <c r="M249" s="7">
        <v>3</v>
      </c>
      <c r="N249" s="439" t="s">
        <v>1895</v>
      </c>
      <c r="O249" s="2563"/>
      <c r="P249" s="2989"/>
      <c r="Q249" s="895" t="str">
        <f t="shared" ref="Q249:Q250" si="3">IF(OR($O249=$M249,$O249=$M249-1,$O249=0,$O249=""),"","*CHECK!*")</f>
        <v/>
      </c>
      <c r="R249" s="892" t="s">
        <v>4264</v>
      </c>
    </row>
    <row r="250" spans="1:24">
      <c r="A250" s="137" t="s">
        <v>719</v>
      </c>
      <c r="B250" s="175" t="s">
        <v>6570</v>
      </c>
      <c r="E250" s="40" t="s">
        <v>6497</v>
      </c>
      <c r="I250" s="1406"/>
      <c r="L250" s="1675"/>
      <c r="M250" s="7">
        <v>3</v>
      </c>
      <c r="N250" s="439" t="s">
        <v>719</v>
      </c>
      <c r="O250" s="2564">
        <v>3</v>
      </c>
      <c r="P250" s="2990"/>
      <c r="Q250" s="895" t="str">
        <f t="shared" si="3"/>
        <v/>
      </c>
      <c r="R250" s="892" t="s">
        <v>4264</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176" t="s">
        <v>6948</v>
      </c>
      <c r="B252" s="4177"/>
      <c r="C252" s="4177"/>
      <c r="D252" s="4177"/>
      <c r="E252" s="4177"/>
      <c r="F252" s="4177"/>
      <c r="G252" s="4177"/>
      <c r="H252" s="4177"/>
      <c r="I252" s="4177"/>
      <c r="J252" s="4177"/>
      <c r="K252" s="4177"/>
      <c r="L252" s="4177"/>
      <c r="M252" s="4177"/>
      <c r="N252" s="4177"/>
      <c r="O252" s="4177"/>
      <c r="P252" s="4178"/>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7"/>
      <c r="K256" s="48"/>
      <c r="L256" s="439" t="s">
        <v>4265</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9" t="s">
        <v>6949</v>
      </c>
      <c r="P259" s="2953"/>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68" t="s">
        <v>6949</v>
      </c>
      <c r="P260" s="2954"/>
      <c r="R260" s="380"/>
      <c r="T260" s="929"/>
      <c r="U260" s="929"/>
    </row>
    <row r="261" spans="1:21" s="43" customFormat="1" ht="11.25" customHeight="1">
      <c r="A261" s="137" t="s">
        <v>1895</v>
      </c>
      <c r="B261" s="163" t="s">
        <v>4153</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6" t="s">
        <v>4154</v>
      </c>
      <c r="C262" s="4006"/>
      <c r="D262" s="4006"/>
      <c r="E262" s="4006"/>
      <c r="F262" s="4006"/>
      <c r="G262" s="4006"/>
      <c r="H262" s="4006"/>
      <c r="I262" s="4006"/>
      <c r="J262" s="4006"/>
      <c r="K262" s="4006"/>
      <c r="L262" s="4006"/>
      <c r="M262" s="7"/>
      <c r="N262" s="439"/>
      <c r="O262" s="2659" t="s">
        <v>6949</v>
      </c>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6498</v>
      </c>
      <c r="C264" s="3963"/>
      <c r="D264" s="3963"/>
      <c r="E264" s="3963"/>
      <c r="F264" s="3963"/>
      <c r="G264" s="3963"/>
      <c r="H264" s="3963"/>
      <c r="I264" s="3963"/>
      <c r="J264" s="3963"/>
      <c r="K264" s="3963"/>
      <c r="L264" s="3963"/>
      <c r="M264" s="7"/>
      <c r="N264" s="439"/>
      <c r="O264" s="2665" t="s">
        <v>2769</v>
      </c>
      <c r="P264" s="2962"/>
      <c r="Q264" s="380"/>
      <c r="R264" s="367"/>
      <c r="T264" s="929"/>
      <c r="U264" s="929"/>
    </row>
    <row r="265" spans="1:21" s="43" customFormat="1" ht="22.5" customHeight="1">
      <c r="B265" s="3963" t="s">
        <v>6499</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3520</v>
      </c>
      <c r="B269" s="105" t="s">
        <v>3489</v>
      </c>
      <c r="C269" s="87"/>
      <c r="D269" s="58"/>
      <c r="E269" s="52"/>
      <c r="G269" s="55"/>
      <c r="I269" s="1706" t="s">
        <v>6542</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6500</v>
      </c>
      <c r="C270" s="2653"/>
      <c r="D270" s="2653"/>
      <c r="E270" s="2653"/>
      <c r="F270" s="2653"/>
      <c r="G270" s="2653"/>
      <c r="H270" s="2653"/>
      <c r="I270" s="2653"/>
      <c r="J270" s="2653"/>
      <c r="K270" s="2653"/>
      <c r="L270" s="1276"/>
      <c r="M270" s="777"/>
      <c r="N270" s="74"/>
      <c r="O270" s="2493" t="s">
        <v>2772</v>
      </c>
      <c r="P270" s="3008"/>
      <c r="Q270" s="108"/>
      <c r="T270" s="929"/>
      <c r="U270" s="929"/>
    </row>
    <row r="271" spans="1:21" s="43" customFormat="1" ht="12" customHeight="1">
      <c r="A271" s="137" t="s">
        <v>1893</v>
      </c>
      <c r="B271" s="163" t="s">
        <v>3490</v>
      </c>
      <c r="C271" s="87"/>
      <c r="D271" s="58"/>
      <c r="E271" s="52"/>
      <c r="G271" s="1509">
        <f>'Part VIII-Threshold Criteria'!I380</f>
        <v>0</v>
      </c>
      <c r="I271" s="40" t="s">
        <v>4285</v>
      </c>
      <c r="K271" s="1676" t="str">
        <f>'Part I-Project Information'!H100</f>
        <v>No</v>
      </c>
      <c r="M271" s="72">
        <v>2</v>
      </c>
      <c r="N271" s="439" t="s">
        <v>1893</v>
      </c>
      <c r="P271" s="3012"/>
      <c r="Q271" s="108"/>
      <c r="R271" s="943" t="s">
        <v>2554</v>
      </c>
    </row>
    <row r="272" spans="1:21" s="101" customFormat="1" ht="10.5" customHeight="1">
      <c r="A272" s="137"/>
      <c r="B272" s="365" t="s">
        <v>1896</v>
      </c>
      <c r="C272" s="36" t="s">
        <v>4018</v>
      </c>
      <c r="D272" s="33"/>
      <c r="N272" s="421" t="s">
        <v>4019</v>
      </c>
      <c r="O272" s="2492"/>
      <c r="P272" s="2952"/>
      <c r="R272" s="367"/>
    </row>
    <row r="273" spans="1:19" s="101" customFormat="1" ht="10.5" customHeight="1">
      <c r="A273" s="137"/>
      <c r="B273" s="365"/>
      <c r="C273" s="36" t="s">
        <v>6501</v>
      </c>
      <c r="D273" s="33"/>
      <c r="N273" s="421" t="s">
        <v>4020</v>
      </c>
      <c r="O273" s="2669"/>
      <c r="P273" s="2953"/>
      <c r="R273" s="367"/>
    </row>
    <row r="274" spans="1:19" s="101" customFormat="1" ht="10.5" customHeight="1">
      <c r="A274" s="137"/>
      <c r="B274" s="365" t="s">
        <v>1898</v>
      </c>
      <c r="C274" s="36" t="s">
        <v>3496</v>
      </c>
      <c r="D274" s="33"/>
      <c r="N274" s="779" t="s">
        <v>1898</v>
      </c>
      <c r="O274" s="2669"/>
      <c r="P274" s="2953"/>
      <c r="R274" s="367"/>
    </row>
    <row r="275" spans="1:19" s="101" customFormat="1" ht="10.5" customHeight="1">
      <c r="A275" s="137"/>
      <c r="B275" s="365" t="s">
        <v>2416</v>
      </c>
      <c r="C275" s="36" t="s">
        <v>4021</v>
      </c>
      <c r="D275" s="33"/>
      <c r="N275" s="779" t="s">
        <v>2416</v>
      </c>
      <c r="O275" s="2669"/>
      <c r="P275" s="2953"/>
      <c r="R275" s="367"/>
    </row>
    <row r="276" spans="1:19" s="101" customFormat="1" ht="10.5" customHeight="1">
      <c r="B276" s="365" t="s">
        <v>1178</v>
      </c>
      <c r="C276" s="36" t="s">
        <v>3497</v>
      </c>
      <c r="D276" s="33"/>
      <c r="N276" s="779" t="s">
        <v>1178</v>
      </c>
      <c r="O276" s="2668"/>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4018</v>
      </c>
      <c r="D278" s="52"/>
      <c r="E278" s="52"/>
      <c r="M278" s="2650"/>
      <c r="N278" s="421" t="s">
        <v>4019</v>
      </c>
      <c r="O278" s="2492"/>
      <c r="P278" s="2952"/>
      <c r="Q278" s="108"/>
    </row>
    <row r="279" spans="1:19" s="101" customFormat="1" ht="10.5" customHeight="1">
      <c r="A279" s="137"/>
      <c r="B279" s="365"/>
      <c r="C279" s="36" t="s">
        <v>6502</v>
      </c>
      <c r="D279" s="33"/>
      <c r="N279" s="421" t="s">
        <v>4020</v>
      </c>
      <c r="O279" s="2669"/>
      <c r="P279" s="2953"/>
      <c r="R279" s="367"/>
    </row>
    <row r="280" spans="1:19" s="101" customFormat="1" ht="10.5" customHeight="1">
      <c r="A280" s="137"/>
      <c r="B280" s="365" t="s">
        <v>1898</v>
      </c>
      <c r="C280" s="36" t="s">
        <v>3508</v>
      </c>
      <c r="D280" s="33"/>
      <c r="N280" s="779" t="s">
        <v>1898</v>
      </c>
      <c r="O280" s="2669"/>
      <c r="P280" s="2953"/>
      <c r="R280" s="367"/>
    </row>
    <row r="281" spans="1:19" s="101" customFormat="1" ht="10.5" customHeight="1">
      <c r="B281" s="365" t="s">
        <v>2416</v>
      </c>
      <c r="C281" s="36" t="s">
        <v>3497</v>
      </c>
      <c r="D281" s="33"/>
      <c r="N281" s="779" t="s">
        <v>2416</v>
      </c>
      <c r="O281" s="2668"/>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4264</v>
      </c>
      <c r="S286" s="1725"/>
    </row>
    <row r="287" spans="1:19" s="43" customFormat="1" ht="11.25" customHeight="1">
      <c r="A287" s="137"/>
      <c r="B287" s="112" t="s">
        <v>3275</v>
      </c>
      <c r="D287" s="88"/>
      <c r="E287" s="88"/>
      <c r="G287" s="52"/>
      <c r="I287" s="3824" t="s">
        <v>1102</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0"/>
    </row>
    <row r="290" spans="1:20" s="43" customFormat="1" ht="11.1" customHeight="1" thickTop="1" thickBot="1">
      <c r="A290" s="4176" t="s">
        <v>6950</v>
      </c>
      <c r="B290" s="4177"/>
      <c r="C290" s="4177"/>
      <c r="D290" s="4177"/>
      <c r="E290" s="4177"/>
      <c r="F290" s="4177"/>
      <c r="G290" s="4177"/>
      <c r="H290" s="4177"/>
      <c r="I290" s="4177"/>
      <c r="J290" s="4177"/>
      <c r="K290" s="4177"/>
      <c r="L290" s="4177"/>
      <c r="M290" s="4177"/>
      <c r="N290" s="4177"/>
      <c r="O290" s="4177"/>
      <c r="P290" s="4178"/>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2</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74" t="str">
        <f>IF(OR(O296="No",O296="",O297="No",O297="",O298="No",O298="",O299="No",O299=""),"Unmet criterion results in no points!","")</f>
        <v/>
      </c>
      <c r="M296" s="4374"/>
      <c r="N296" s="366" t="s">
        <v>2324</v>
      </c>
      <c r="O296" s="2492" t="s">
        <v>2769</v>
      </c>
      <c r="P296" s="2952"/>
      <c r="R296" s="4370" t="str">
        <f>IF(OR(P296="No",P296="",P297="No",P297="",P298="No",P298="",P299="No",P299=""),"Unmet criterion results in no points!","")</f>
        <v>Unmet criterion results in no points!</v>
      </c>
      <c r="S296" s="4370" t="e">
        <f>IF(OR(V296="No",V296="",V297="No",V297="",V298="No",V298="",V299="No",V299="",#REF!="No",#REF!="",#REF!="No",#REF!=""),"Unmet criterion results in no points!","")</f>
        <v>#REF!</v>
      </c>
    </row>
    <row r="297" spans="1:20" s="99" customFormat="1" ht="12.75" customHeight="1">
      <c r="B297" s="366" t="s">
        <v>2325</v>
      </c>
      <c r="C297" s="133" t="s">
        <v>3410</v>
      </c>
      <c r="L297" s="4374"/>
      <c r="M297" s="4374"/>
      <c r="N297" s="366" t="s">
        <v>2325</v>
      </c>
      <c r="O297" s="2669" t="s">
        <v>2769</v>
      </c>
      <c r="P297" s="2953"/>
      <c r="R297" s="4370"/>
      <c r="S297" s="4370"/>
    </row>
    <row r="298" spans="1:20" s="99" customFormat="1" ht="12.75" customHeight="1">
      <c r="B298" s="366" t="s">
        <v>2326</v>
      </c>
      <c r="C298" s="133" t="s">
        <v>3409</v>
      </c>
      <c r="L298" s="4374"/>
      <c r="M298" s="4374"/>
      <c r="N298" s="366" t="s">
        <v>2326</v>
      </c>
      <c r="O298" s="2669" t="s">
        <v>6949</v>
      </c>
      <c r="P298" s="2953"/>
      <c r="R298" s="4370"/>
      <c r="S298" s="4370"/>
    </row>
    <row r="299" spans="1:20" s="99" customFormat="1" ht="33.75" customHeight="1">
      <c r="B299" s="379" t="s">
        <v>2327</v>
      </c>
      <c r="C299" s="4367" t="s">
        <v>3995</v>
      </c>
      <c r="D299" s="4367"/>
      <c r="E299" s="4367"/>
      <c r="F299" s="4367"/>
      <c r="G299" s="4367"/>
      <c r="H299" s="4367"/>
      <c r="I299" s="4367"/>
      <c r="J299" s="4367"/>
      <c r="K299" s="4367"/>
      <c r="L299" s="4367"/>
      <c r="M299" s="4367"/>
      <c r="N299" s="379" t="s">
        <v>2327</v>
      </c>
      <c r="O299" s="2665" t="s">
        <v>6949</v>
      </c>
      <c r="P299" s="2962"/>
    </row>
    <row r="300" spans="1:20" ht="3" customHeight="1">
      <c r="C300" s="4367"/>
      <c r="D300" s="4367"/>
      <c r="E300" s="4367"/>
      <c r="F300" s="4367"/>
      <c r="G300" s="4367"/>
      <c r="H300" s="4367"/>
      <c r="I300" s="4367"/>
      <c r="J300" s="4367"/>
      <c r="K300" s="4367"/>
      <c r="L300" s="4367"/>
      <c r="M300" s="4367"/>
    </row>
    <row r="301" spans="1:20" ht="12.75" customHeight="1">
      <c r="A301" s="911" t="s">
        <v>1893</v>
      </c>
      <c r="B301" s="175" t="s">
        <v>3494</v>
      </c>
      <c r="L301" s="367" t="str">
        <f>IF(O301&lt;=M301,"","* * Check Score! * *")</f>
        <v/>
      </c>
      <c r="M301" s="968">
        <v>3</v>
      </c>
      <c r="N301" s="439" t="s">
        <v>1893</v>
      </c>
      <c r="O301" s="2573">
        <v>2</v>
      </c>
      <c r="P301" s="3007"/>
      <c r="Q301" s="895" t="str">
        <f>IF(O301&lt;=M301,"","*CHECK!*")</f>
        <v/>
      </c>
      <c r="R301" s="4369" t="s">
        <v>4264</v>
      </c>
      <c r="S301" s="4369"/>
      <c r="T301" s="1498"/>
    </row>
    <row r="302" spans="1:20" ht="12.75" customHeight="1">
      <c r="A302" s="911"/>
      <c r="B302" s="533" t="s">
        <v>1896</v>
      </c>
      <c r="C302" s="898" t="s">
        <v>3998</v>
      </c>
      <c r="D302" s="898"/>
      <c r="E302" s="898"/>
      <c r="F302" s="898"/>
      <c r="G302" s="898"/>
      <c r="H302" s="898"/>
      <c r="I302" s="898"/>
      <c r="N302" s="27"/>
      <c r="O302" s="27"/>
      <c r="P302" s="27"/>
      <c r="R302" s="4369"/>
      <c r="S302" s="4369"/>
      <c r="T302" s="1498"/>
    </row>
    <row r="303" spans="1:20" ht="12.75" customHeight="1">
      <c r="A303" s="911"/>
      <c r="B303" s="423"/>
      <c r="C303" s="898" t="s">
        <v>3997</v>
      </c>
      <c r="D303" s="898"/>
      <c r="E303" s="898"/>
      <c r="F303" s="898"/>
      <c r="G303" s="898"/>
      <c r="H303" s="898"/>
      <c r="I303" s="898"/>
      <c r="J303" s="4194" t="s">
        <v>1900</v>
      </c>
      <c r="K303" s="4194"/>
      <c r="M303" s="4194" t="s">
        <v>1900</v>
      </c>
      <c r="N303" s="4194"/>
      <c r="O303" s="4194"/>
      <c r="P303" s="4194"/>
      <c r="R303" s="4369"/>
      <c r="S303" s="4369"/>
      <c r="T303" s="1498"/>
    </row>
    <row r="304" spans="1:20" s="43" customFormat="1" ht="12.75" customHeight="1">
      <c r="A304" s="173"/>
      <c r="B304" s="366" t="s">
        <v>2324</v>
      </c>
      <c r="C304" s="36" t="s">
        <v>1423</v>
      </c>
      <c r="I304" s="366" t="s">
        <v>2324</v>
      </c>
      <c r="J304" s="4204"/>
      <c r="K304" s="4205"/>
      <c r="L304" s="366" t="s">
        <v>2324</v>
      </c>
      <c r="M304" s="4341"/>
      <c r="N304" s="4342"/>
      <c r="O304" s="4342"/>
      <c r="P304" s="4343"/>
      <c r="R304" s="367"/>
    </row>
    <row r="305" spans="1:18" ht="12.75" customHeight="1">
      <c r="A305" s="174"/>
      <c r="B305" s="379" t="s">
        <v>2325</v>
      </c>
      <c r="C305" s="36" t="s">
        <v>3277</v>
      </c>
      <c r="I305" s="379" t="s">
        <v>2325</v>
      </c>
      <c r="J305" s="4188"/>
      <c r="K305" s="4189"/>
      <c r="L305" s="379" t="s">
        <v>2325</v>
      </c>
      <c r="M305" s="4190"/>
      <c r="N305" s="4191"/>
      <c r="O305" s="4191"/>
      <c r="P305" s="4192"/>
      <c r="R305" s="367"/>
    </row>
    <row r="306" spans="1:18" ht="12.75" customHeight="1">
      <c r="B306" s="366" t="s">
        <v>2326</v>
      </c>
      <c r="C306" s="36" t="s">
        <v>4155</v>
      </c>
      <c r="I306" s="366" t="s">
        <v>2326</v>
      </c>
      <c r="J306" s="4188"/>
      <c r="K306" s="4189"/>
      <c r="L306" s="366" t="s">
        <v>2326</v>
      </c>
      <c r="M306" s="4190"/>
      <c r="N306" s="4191"/>
      <c r="O306" s="4191"/>
      <c r="P306" s="4192"/>
      <c r="R306" s="367"/>
    </row>
    <row r="307" spans="1:18" ht="12.75" customHeight="1">
      <c r="A307" s="174"/>
      <c r="B307" s="366" t="s">
        <v>2327</v>
      </c>
      <c r="C307" s="36" t="s">
        <v>3192</v>
      </c>
      <c r="I307" s="366" t="s">
        <v>2327</v>
      </c>
      <c r="J307" s="4188"/>
      <c r="K307" s="4189"/>
      <c r="L307" s="366" t="s">
        <v>2327</v>
      </c>
      <c r="M307" s="4190"/>
      <c r="N307" s="4191"/>
      <c r="O307" s="4191"/>
      <c r="P307" s="4192"/>
      <c r="R307" s="367"/>
    </row>
    <row r="308" spans="1:18" s="43" customFormat="1" ht="12.75" customHeight="1">
      <c r="A308" s="173"/>
      <c r="B308" s="379" t="s">
        <v>2328</v>
      </c>
      <c r="C308" s="36" t="s">
        <v>2571</v>
      </c>
      <c r="I308" s="379" t="s">
        <v>2328</v>
      </c>
      <c r="J308" s="4188">
        <v>1883652</v>
      </c>
      <c r="K308" s="4189"/>
      <c r="L308" s="379" t="s">
        <v>2328</v>
      </c>
      <c r="M308" s="4190"/>
      <c r="N308" s="4191"/>
      <c r="O308" s="4191"/>
      <c r="P308" s="4192"/>
      <c r="R308" s="367"/>
    </row>
    <row r="309" spans="1:18" ht="12.75" customHeight="1">
      <c r="B309" s="366" t="s">
        <v>2344</v>
      </c>
      <c r="C309" s="36" t="s">
        <v>1422</v>
      </c>
      <c r="I309" s="366" t="s">
        <v>2344</v>
      </c>
      <c r="J309" s="4188"/>
      <c r="K309" s="4189"/>
      <c r="L309" s="366" t="s">
        <v>2344</v>
      </c>
      <c r="M309" s="4190"/>
      <c r="N309" s="4191"/>
      <c r="O309" s="4191"/>
      <c r="P309" s="4192"/>
      <c r="R309" s="367"/>
    </row>
    <row r="310" spans="1:18" ht="12.75" customHeight="1">
      <c r="B310" s="366" t="s">
        <v>2345</v>
      </c>
      <c r="C310" s="36" t="s">
        <v>6503</v>
      </c>
      <c r="I310" s="366" t="s">
        <v>2345</v>
      </c>
      <c r="J310" s="4188"/>
      <c r="K310" s="4189"/>
      <c r="L310" s="366" t="s">
        <v>2345</v>
      </c>
      <c r="M310" s="3013"/>
      <c r="N310" s="3014"/>
      <c r="O310" s="3014"/>
      <c r="P310" s="3015"/>
      <c r="R310" s="367"/>
    </row>
    <row r="311" spans="1:18" ht="12.75" customHeight="1">
      <c r="A311" s="174"/>
      <c r="B311" s="378" t="s">
        <v>2346</v>
      </c>
      <c r="C311" s="36" t="s">
        <v>3276</v>
      </c>
      <c r="I311" s="378" t="s">
        <v>2346</v>
      </c>
      <c r="J311" s="4188"/>
      <c r="K311" s="4189"/>
      <c r="L311" s="378" t="s">
        <v>2346</v>
      </c>
      <c r="M311" s="4190"/>
      <c r="N311" s="4191"/>
      <c r="O311" s="4191"/>
      <c r="P311" s="4192"/>
      <c r="R311" s="367"/>
    </row>
    <row r="312" spans="1:18" ht="12.75" customHeight="1">
      <c r="B312" s="378" t="s">
        <v>2347</v>
      </c>
      <c r="C312" s="36" t="s">
        <v>3999</v>
      </c>
      <c r="I312" s="378" t="s">
        <v>2347</v>
      </c>
      <c r="J312" s="4188"/>
      <c r="K312" s="4189"/>
      <c r="L312" s="378" t="s">
        <v>2347</v>
      </c>
      <c r="M312" s="4190"/>
      <c r="N312" s="4191"/>
      <c r="O312" s="4191"/>
      <c r="P312" s="4192"/>
      <c r="R312" s="367"/>
    </row>
    <row r="313" spans="1:18" ht="12.75" customHeight="1">
      <c r="B313" s="378" t="s">
        <v>3278</v>
      </c>
      <c r="C313" s="36" t="s">
        <v>4000</v>
      </c>
      <c r="I313" s="378" t="s">
        <v>3278</v>
      </c>
      <c r="J313" s="4188"/>
      <c r="K313" s="4189"/>
      <c r="L313" s="378" t="s">
        <v>3278</v>
      </c>
      <c r="M313" s="4190"/>
      <c r="N313" s="4191"/>
      <c r="O313" s="4191"/>
      <c r="P313" s="4192"/>
      <c r="R313" s="367"/>
    </row>
    <row r="314" spans="1:18" ht="12.75" customHeight="1" thickBot="1">
      <c r="B314" s="378" t="s">
        <v>6504</v>
      </c>
      <c r="C314" s="36" t="s">
        <v>6505</v>
      </c>
      <c r="I314" s="378" t="s">
        <v>6504</v>
      </c>
      <c r="J314" s="4188"/>
      <c r="K314" s="4189"/>
      <c r="L314" s="378" t="s">
        <v>6504</v>
      </c>
      <c r="M314" s="4181"/>
      <c r="N314" s="4182"/>
      <c r="O314" s="4182"/>
      <c r="P314" s="4183"/>
      <c r="R314" s="367"/>
    </row>
    <row r="315" spans="1:18" ht="12.75" customHeight="1" thickBot="1">
      <c r="B315" s="988" t="s">
        <v>4001</v>
      </c>
      <c r="H315" s="1006" t="s">
        <v>2501</v>
      </c>
      <c r="J315" s="4198">
        <f>SUM(J304:K314)</f>
        <v>1883652</v>
      </c>
      <c r="K315" s="4199"/>
      <c r="M315" s="4198">
        <f>SUM($M304:$M314)</f>
        <v>0</v>
      </c>
      <c r="N315" s="4203"/>
      <c r="O315" s="4203"/>
      <c r="P315" s="4199"/>
      <c r="R315" s="367"/>
    </row>
    <row r="316" spans="1:18" ht="6" customHeight="1">
      <c r="M316" s="474"/>
      <c r="N316" s="474"/>
      <c r="O316" s="157"/>
      <c r="P316" s="474"/>
    </row>
    <row r="317" spans="1:18" s="43" customFormat="1" ht="12" customHeight="1">
      <c r="A317" s="42"/>
      <c r="B317" s="1279" t="s">
        <v>1898</v>
      </c>
      <c r="C317" s="484" t="s">
        <v>2500</v>
      </c>
      <c r="D317" s="897"/>
      <c r="E317" s="897"/>
      <c r="F317" s="419" t="s">
        <v>6507</v>
      </c>
      <c r="H317" s="27"/>
      <c r="I317" s="27"/>
      <c r="J317" s="4329">
        <f>'Part VI-Revenues &amp; Expenses'!$P$67</f>
        <v>89</v>
      </c>
      <c r="K317" s="4330"/>
      <c r="L317" s="497"/>
      <c r="M317" s="474"/>
      <c r="N317" s="474"/>
      <c r="O317" s="962"/>
      <c r="P317" s="474"/>
    </row>
    <row r="318" spans="1:18" ht="13.5" customHeight="1">
      <c r="C318" s="897"/>
      <c r="D318" s="897"/>
      <c r="E318" s="897"/>
      <c r="F318" s="422" t="s">
        <v>6508</v>
      </c>
      <c r="J318" s="4214">
        <f>J315/J317</f>
        <v>21164.629213483146</v>
      </c>
      <c r="K318" s="4215"/>
      <c r="M318" s="4208">
        <f>IF($J317=0,0,$M315/$J317)</f>
        <v>0</v>
      </c>
      <c r="N318" s="4209"/>
      <c r="O318" s="4209"/>
      <c r="P318" s="4210"/>
    </row>
    <row r="319" spans="1:18" s="43" customFormat="1" ht="12.75" customHeight="1">
      <c r="C319" s="897"/>
      <c r="D319" s="897"/>
      <c r="E319" s="897"/>
      <c r="F319" s="921" t="s">
        <v>6509</v>
      </c>
      <c r="I319" s="27"/>
      <c r="J319" s="4195">
        <f>IF(L296="", IF($J318&gt;=30000, 3,IF($J318&gt;=20000, 2,IF($J318&gt;=10000,1,0))),0)</f>
        <v>2</v>
      </c>
      <c r="K319" s="4196"/>
      <c r="L319" s="482"/>
      <c r="M319" s="4195">
        <f>IF(R296="", IF($M318&gt;=30000, 3,IF($M318&gt;=20000, 2,IF($M318&gt;=10000,1,0))),0)</f>
        <v>0</v>
      </c>
      <c r="N319" s="4213"/>
      <c r="O319" s="4213"/>
      <c r="P319" s="4196"/>
    </row>
    <row r="320" spans="1:18" ht="9" customHeight="1" thickBot="1"/>
    <row r="321" spans="1:22" s="101" customFormat="1" ht="12.75" customHeight="1" thickBot="1">
      <c r="A321" s="1401" t="s">
        <v>1895</v>
      </c>
      <c r="B321" s="177" t="s">
        <v>3279</v>
      </c>
      <c r="D321" s="39"/>
      <c r="E321" s="36"/>
      <c r="F321" s="777"/>
      <c r="H321" s="36"/>
      <c r="I321" s="777"/>
      <c r="J321" s="783"/>
      <c r="K321" s="783"/>
      <c r="L321" s="367" t="str">
        <f>IF(OR($O321=$M321,$O321=0,$O321=""),"","* * Check Score! * *")</f>
        <v/>
      </c>
      <c r="M321" s="535">
        <v>1</v>
      </c>
      <c r="N321" s="64" t="s">
        <v>1895</v>
      </c>
      <c r="O321" s="2605"/>
      <c r="P321" s="965"/>
      <c r="Q321" s="892" t="s">
        <v>4264</v>
      </c>
      <c r="V321" s="929"/>
    </row>
    <row r="322" spans="1:22" s="43" customFormat="1" ht="22.5" customHeight="1">
      <c r="A322" s="137"/>
      <c r="B322" s="423" t="s">
        <v>1896</v>
      </c>
      <c r="C322" s="3963" t="s">
        <v>3495</v>
      </c>
      <c r="D322" s="3963"/>
      <c r="E322" s="3963"/>
      <c r="F322" s="3963"/>
      <c r="G322" s="3963"/>
      <c r="H322" s="3963"/>
      <c r="I322" s="3963"/>
      <c r="J322" s="3963"/>
      <c r="K322" s="3963"/>
      <c r="L322" s="3963"/>
      <c r="M322" s="3963"/>
      <c r="N322" s="1737" t="s">
        <v>1896</v>
      </c>
      <c r="O322" s="2655" t="s">
        <v>6949</v>
      </c>
      <c r="P322" s="2972"/>
      <c r="V322" s="929"/>
    </row>
    <row r="323" spans="1:22" s="43" customFormat="1" ht="12.75" customHeight="1">
      <c r="A323" s="137"/>
      <c r="B323" s="365" t="s">
        <v>1898</v>
      </c>
      <c r="C323" s="52" t="s">
        <v>3404</v>
      </c>
      <c r="D323" s="52"/>
      <c r="E323" s="52"/>
      <c r="F323" s="52"/>
      <c r="G323" s="52"/>
      <c r="H323" s="52"/>
      <c r="I323" s="52"/>
      <c r="J323" s="52"/>
      <c r="K323" s="52"/>
      <c r="M323" s="52"/>
      <c r="N323" s="779" t="s">
        <v>1898</v>
      </c>
      <c r="O323" s="2668" t="s">
        <v>6949</v>
      </c>
      <c r="P323" s="2954"/>
      <c r="V323" s="929"/>
    </row>
    <row r="324" spans="1:22" ht="12.75" customHeight="1">
      <c r="B324" s="365" t="s">
        <v>2416</v>
      </c>
      <c r="C324" s="418" t="s">
        <v>4002</v>
      </c>
      <c r="N324" s="779" t="s">
        <v>2416</v>
      </c>
      <c r="O324" s="2668" t="s">
        <v>6949</v>
      </c>
      <c r="P324" s="2954"/>
    </row>
    <row r="325" spans="1:22" ht="12" customHeight="1" thickBot="1">
      <c r="B325" s="1007" t="s">
        <v>3373</v>
      </c>
    </row>
    <row r="326" spans="1:22" s="43" customFormat="1" ht="42.75" customHeight="1" thickTop="1" thickBot="1">
      <c r="A326" s="4176" t="s">
        <v>6987</v>
      </c>
      <c r="B326" s="4177"/>
      <c r="C326" s="4177"/>
      <c r="D326" s="4177"/>
      <c r="E326" s="4177"/>
      <c r="F326" s="4177"/>
      <c r="G326" s="4177"/>
      <c r="H326" s="4177"/>
      <c r="I326" s="4177"/>
      <c r="J326" s="4177"/>
      <c r="K326" s="4177"/>
      <c r="L326" s="4177"/>
      <c r="M326" s="4177"/>
      <c r="N326" s="4177"/>
      <c r="O326" s="4177"/>
      <c r="P326" s="4178"/>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3522</v>
      </c>
      <c r="B330" s="104" t="s">
        <v>2566</v>
      </c>
      <c r="D330" s="40"/>
      <c r="G330" s="61" t="s">
        <v>6295</v>
      </c>
      <c r="I330" s="1672" t="s">
        <v>6542</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2</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4" t="s">
        <v>6951</v>
      </c>
      <c r="E332" s="3825"/>
      <c r="F332" s="3825"/>
      <c r="G332" s="3825"/>
      <c r="H332" s="3825"/>
      <c r="I332" s="3826"/>
      <c r="J332" s="382" t="s">
        <v>2630</v>
      </c>
      <c r="L332" s="491">
        <f>'Part III-Sources of Funds'!$I$53</f>
        <v>1883652</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4156</v>
      </c>
      <c r="C334" s="382"/>
      <c r="D334" s="382"/>
      <c r="E334" s="382"/>
      <c r="F334" s="382"/>
      <c r="G334" s="382"/>
      <c r="H334" s="382"/>
      <c r="I334" s="382"/>
      <c r="M334" s="402">
        <v>2</v>
      </c>
      <c r="N334" s="159" t="s">
        <v>1893</v>
      </c>
      <c r="O334" s="2573"/>
      <c r="P334" s="3007"/>
      <c r="Q334" s="895" t="str">
        <f>IF(OR($O334=$M334,$O334=0,$O334=""),"","*CHECK!*")</f>
        <v/>
      </c>
      <c r="R334" s="892" t="s">
        <v>4264</v>
      </c>
    </row>
    <row r="335" spans="1:22" s="401" customFormat="1" ht="12" customHeight="1">
      <c r="A335" s="400"/>
      <c r="B335" s="4164" t="s">
        <v>6510</v>
      </c>
      <c r="C335" s="4164"/>
      <c r="D335" s="4164"/>
      <c r="E335" s="4164"/>
      <c r="F335" s="4164"/>
      <c r="G335" s="4164"/>
      <c r="H335" s="4164"/>
      <c r="I335" s="4164"/>
      <c r="J335" s="4164"/>
      <c r="K335" s="4164"/>
      <c r="L335" s="4164"/>
      <c r="M335" s="4180" t="s">
        <v>4069</v>
      </c>
      <c r="N335" s="4180"/>
      <c r="Q335" s="170"/>
    </row>
    <row r="336" spans="1:22" s="401" customFormat="1" ht="12" customHeight="1">
      <c r="B336" s="4164"/>
      <c r="C336" s="4164"/>
      <c r="D336" s="4164"/>
      <c r="E336" s="4164"/>
      <c r="F336" s="4164"/>
      <c r="G336" s="4164"/>
      <c r="H336" s="4164"/>
      <c r="I336" s="4164"/>
      <c r="J336" s="4164"/>
      <c r="K336" s="4164"/>
      <c r="L336" s="4164"/>
      <c r="M336" s="4180"/>
      <c r="N336" s="4180"/>
      <c r="O336" s="4186">
        <f>'Part VI-Revenues &amp; Expenses'!$P$123</f>
        <v>0</v>
      </c>
      <c r="P336" s="4187"/>
      <c r="Q336" s="170"/>
    </row>
    <row r="337" spans="1:19" s="401" customFormat="1" ht="12" customHeight="1">
      <c r="B337" s="4164"/>
      <c r="C337" s="4164"/>
      <c r="D337" s="4164"/>
      <c r="E337" s="4164"/>
      <c r="F337" s="4164"/>
      <c r="G337" s="4164"/>
      <c r="H337" s="4164"/>
      <c r="I337" s="4164"/>
      <c r="J337" s="4164"/>
      <c r="K337" s="4164"/>
      <c r="L337" s="4164"/>
      <c r="M337" s="2644" t="s">
        <v>2628</v>
      </c>
      <c r="N337" s="402"/>
      <c r="O337" s="4184">
        <f>'Part VI-Revenues &amp; Expenses'!$P$67</f>
        <v>89</v>
      </c>
      <c r="P337" s="4185"/>
      <c r="Q337" s="170"/>
    </row>
    <row r="338" spans="1:19" s="401" customFormat="1" ht="12" customHeight="1">
      <c r="B338" s="4193"/>
      <c r="C338" s="4193"/>
      <c r="D338" s="4193"/>
      <c r="E338" s="4193"/>
      <c r="F338" s="4193"/>
      <c r="G338" s="4193"/>
      <c r="H338" s="4193"/>
      <c r="I338" s="4193"/>
      <c r="J338" s="4193"/>
      <c r="K338" s="4193"/>
      <c r="L338" s="4193"/>
      <c r="M338" s="1280" t="s">
        <v>2629</v>
      </c>
      <c r="N338" s="402"/>
      <c r="O338" s="4388">
        <f>IF(O337=0,0,O336/O337)</f>
        <v>0</v>
      </c>
      <c r="P338" s="4389"/>
      <c r="Q338" s="170"/>
    </row>
    <row r="339" spans="1:19" s="43" customFormat="1" ht="105.75" customHeight="1">
      <c r="A339" s="492"/>
      <c r="B339" s="3980" t="s">
        <v>3567</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4157</v>
      </c>
      <c r="C341" s="138"/>
      <c r="D341" s="766"/>
      <c r="H341" s="382"/>
      <c r="M341" s="402">
        <v>2</v>
      </c>
      <c r="N341" s="159" t="s">
        <v>1895</v>
      </c>
      <c r="O341" s="2573">
        <v>2</v>
      </c>
      <c r="P341" s="3007"/>
      <c r="Q341" s="895" t="str">
        <f>IF(OR($O341=$M341,$O341=0,$O341=""),"","*CHECK!*")</f>
        <v/>
      </c>
      <c r="R341" s="892" t="s">
        <v>4264</v>
      </c>
    </row>
    <row r="342" spans="1:19" s="401" customFormat="1" ht="11.25" customHeight="1">
      <c r="A342" s="493"/>
      <c r="B342" s="3963" t="s">
        <v>6511</v>
      </c>
      <c r="C342" s="3963"/>
      <c r="D342" s="3963"/>
      <c r="E342" s="3963"/>
      <c r="F342" s="3963"/>
      <c r="G342" s="3963"/>
      <c r="H342" s="3963"/>
      <c r="I342" s="3963"/>
      <c r="J342" s="3963"/>
      <c r="K342" s="3963"/>
      <c r="L342" s="3963"/>
      <c r="M342" s="1320" t="s">
        <v>4003</v>
      </c>
      <c r="O342" s="4201">
        <f>'Part VI-Revenues &amp; Expenses'!$P$125</f>
        <v>0</v>
      </c>
      <c r="P342" s="4202"/>
      <c r="Q342" s="170"/>
    </row>
    <row r="343" spans="1:19" s="401" customFormat="1" ht="11.25" customHeight="1">
      <c r="A343" s="493"/>
      <c r="B343" s="3963"/>
      <c r="C343" s="3963"/>
      <c r="D343" s="3963"/>
      <c r="E343" s="3963"/>
      <c r="F343" s="3963"/>
      <c r="G343" s="3963"/>
      <c r="H343" s="3963"/>
      <c r="I343" s="3963"/>
      <c r="J343" s="3963"/>
      <c r="K343" s="3963"/>
      <c r="L343" s="3963"/>
      <c r="M343" s="1016" t="s">
        <v>2628</v>
      </c>
      <c r="N343" s="402"/>
      <c r="O343" s="4184">
        <f>'Part VI-Revenues &amp; Expenses'!$P$67</f>
        <v>89</v>
      </c>
      <c r="P343" s="4185"/>
      <c r="Q343" s="170"/>
    </row>
    <row r="344" spans="1:19" s="401" customFormat="1" ht="11.25" customHeight="1">
      <c r="A344" s="493"/>
      <c r="B344" s="3963"/>
      <c r="C344" s="3963"/>
      <c r="D344" s="3963"/>
      <c r="E344" s="3963"/>
      <c r="F344" s="3963"/>
      <c r="G344" s="3963"/>
      <c r="H344" s="3963"/>
      <c r="I344" s="3963"/>
      <c r="J344" s="3963"/>
      <c r="K344" s="3963"/>
      <c r="L344" s="3963"/>
      <c r="M344" s="1280" t="s">
        <v>2629</v>
      </c>
      <c r="N344" s="402"/>
      <c r="O344" s="4388">
        <f>IF(O343=0,0,O342/O343)</f>
        <v>0</v>
      </c>
      <c r="P344" s="4389"/>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134.25" customHeight="1" thickTop="1" thickBot="1">
      <c r="A346" s="4176" t="s">
        <v>6952</v>
      </c>
      <c r="B346" s="4177"/>
      <c r="C346" s="4177"/>
      <c r="D346" s="4177"/>
      <c r="E346" s="4177"/>
      <c r="F346" s="4177"/>
      <c r="G346" s="4177"/>
      <c r="H346" s="4177"/>
      <c r="I346" s="4177"/>
      <c r="J346" s="4177"/>
      <c r="K346" s="4177"/>
      <c r="L346" s="4177"/>
      <c r="M346" s="4177"/>
      <c r="N346" s="4177"/>
      <c r="O346" s="4177"/>
      <c r="P346" s="4178"/>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3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3523</v>
      </c>
      <c r="B350" s="104" t="s">
        <v>4239</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3301</v>
      </c>
      <c r="D352" s="45"/>
      <c r="E352" s="45"/>
      <c r="F352" s="39"/>
      <c r="G352" s="36"/>
      <c r="I352" s="36"/>
      <c r="J352" s="36"/>
      <c r="K352" s="36"/>
      <c r="L352" s="367"/>
      <c r="M352" s="2650"/>
      <c r="N352" s="6"/>
      <c r="O352" s="977">
        <v>10</v>
      </c>
      <c r="P352" s="977">
        <v>10</v>
      </c>
      <c r="Q352" s="108"/>
    </row>
    <row r="353" spans="1:18" s="101" customFormat="1" ht="12.75" customHeight="1">
      <c r="A353" s="152"/>
      <c r="B353" s="86" t="s">
        <v>3302</v>
      </c>
      <c r="D353" s="45"/>
      <c r="E353" s="45"/>
      <c r="F353" s="39"/>
      <c r="G353" s="36"/>
      <c r="I353" s="36"/>
      <c r="J353" s="36"/>
      <c r="K353" s="36"/>
      <c r="L353" s="367"/>
      <c r="M353" s="2650"/>
      <c r="N353" s="6"/>
      <c r="O353" s="2606"/>
      <c r="P353" s="3010"/>
      <c r="Q353" s="108"/>
    </row>
    <row r="354" spans="1:18" s="101" customFormat="1" ht="12.75" customHeight="1">
      <c r="A354" s="152"/>
      <c r="B354" s="86" t="s">
        <v>3303</v>
      </c>
      <c r="D354" s="45"/>
      <c r="E354" s="45"/>
      <c r="F354" s="39"/>
      <c r="G354" s="36"/>
      <c r="I354" s="36"/>
      <c r="J354" s="36"/>
      <c r="K354" s="36"/>
      <c r="L354" s="367"/>
      <c r="M354" s="2650"/>
      <c r="N354" s="6"/>
      <c r="O354" s="2607"/>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3526</v>
      </c>
      <c r="B358" s="105" t="s">
        <v>6512</v>
      </c>
      <c r="C358" s="2653"/>
      <c r="D358" s="2653"/>
      <c r="E358" s="2653"/>
      <c r="F358" s="2653"/>
      <c r="G358" s="61" t="s">
        <v>6295</v>
      </c>
      <c r="H358" s="2653"/>
      <c r="I358" s="178" t="s">
        <v>3986</v>
      </c>
      <c r="J358" s="1292" t="str">
        <f>'Part I-Project Information'!$H$77</f>
        <v>Family</v>
      </c>
      <c r="K358" s="2653"/>
      <c r="L358" s="2653"/>
      <c r="M358" s="777">
        <v>2</v>
      </c>
      <c r="N358" s="74"/>
      <c r="O358" s="2605">
        <v>2</v>
      </c>
      <c r="P358" s="965"/>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3"/>
      <c r="D360" s="2653"/>
      <c r="E360" s="2653"/>
      <c r="F360" s="2653"/>
      <c r="G360" s="2653"/>
      <c r="H360" s="2653"/>
      <c r="I360" s="2653"/>
      <c r="J360" s="2653"/>
      <c r="K360" s="2653"/>
      <c r="L360" s="1276"/>
      <c r="M360" s="777"/>
      <c r="N360" s="74"/>
      <c r="O360" s="2493" t="s">
        <v>2769</v>
      </c>
      <c r="P360" s="2963"/>
      <c r="Q360" s="108"/>
    </row>
    <row r="361" spans="1:18" s="101" customFormat="1" ht="11.25" customHeight="1">
      <c r="A361" s="151"/>
      <c r="B361" s="112" t="s">
        <v>6518</v>
      </c>
      <c r="D361" s="783" t="s">
        <v>6558</v>
      </c>
      <c r="E361" s="2657"/>
      <c r="F361" s="2657"/>
      <c r="G361" s="2657"/>
      <c r="H361" s="2657"/>
      <c r="K361" s="2657"/>
      <c r="L361" s="2657"/>
      <c r="N361" s="92"/>
      <c r="O361" s="4207" t="s">
        <v>4262</v>
      </c>
      <c r="P361" s="4207"/>
      <c r="Q361" s="108"/>
    </row>
    <row r="362" spans="1:18" s="414" customFormat="1" ht="10.5" customHeight="1">
      <c r="A362" s="413"/>
      <c r="B362" s="1677" t="s">
        <v>2324</v>
      </c>
      <c r="C362" s="921" t="s">
        <v>6513</v>
      </c>
      <c r="N362" s="425" t="s">
        <v>2324</v>
      </c>
      <c r="O362" s="2608" t="s">
        <v>6924</v>
      </c>
      <c r="P362" s="3016"/>
    </row>
    <row r="363" spans="1:18" s="401" customFormat="1" ht="21.75" customHeight="1">
      <c r="A363" s="142"/>
      <c r="B363" s="379" t="s">
        <v>2325</v>
      </c>
      <c r="C363" s="3950" t="s">
        <v>6514</v>
      </c>
      <c r="D363" s="3950"/>
      <c r="E363" s="3950"/>
      <c r="F363" s="3950"/>
      <c r="G363" s="3950"/>
      <c r="H363" s="3950"/>
      <c r="I363" s="3950"/>
      <c r="J363" s="3950"/>
      <c r="K363" s="3950"/>
      <c r="L363" s="3950"/>
      <c r="M363" s="3950"/>
      <c r="N363" s="159" t="s">
        <v>2325</v>
      </c>
      <c r="O363" s="2609" t="s">
        <v>6924</v>
      </c>
      <c r="P363" s="3017"/>
    </row>
    <row r="364" spans="1:18" s="401" customFormat="1" ht="21.75" customHeight="1">
      <c r="A364" s="142"/>
      <c r="B364" s="379" t="s">
        <v>2326</v>
      </c>
      <c r="C364" s="3950" t="s">
        <v>6516</v>
      </c>
      <c r="D364" s="3950"/>
      <c r="E364" s="3950"/>
      <c r="F364" s="3950"/>
      <c r="G364" s="3950"/>
      <c r="H364" s="3950"/>
      <c r="I364" s="3950"/>
      <c r="J364" s="3950"/>
      <c r="K364" s="3950"/>
      <c r="L364" s="3950"/>
      <c r="M364" s="3950"/>
      <c r="N364" s="159" t="s">
        <v>2326</v>
      </c>
      <c r="O364" s="2609" t="s">
        <v>6924</v>
      </c>
      <c r="P364" s="3017"/>
    </row>
    <row r="365" spans="1:18" s="101" customFormat="1" ht="11.25" customHeight="1">
      <c r="B365" s="366" t="s">
        <v>2327</v>
      </c>
      <c r="C365" s="36" t="s">
        <v>6517</v>
      </c>
      <c r="N365" s="439" t="s">
        <v>2327</v>
      </c>
      <c r="O365" s="2610" t="s">
        <v>6924</v>
      </c>
      <c r="P365" s="3018"/>
    </row>
    <row r="366" spans="1:18" s="101" customFormat="1" ht="11.25" customHeight="1">
      <c r="A366" s="151"/>
      <c r="B366" s="112" t="s">
        <v>6519</v>
      </c>
      <c r="D366" s="2657"/>
      <c r="E366" s="2657"/>
      <c r="F366" s="2657"/>
      <c r="G366" s="2657"/>
      <c r="H366" s="783" t="s">
        <v>6558</v>
      </c>
      <c r="K366" s="2657"/>
      <c r="L366" s="2657"/>
      <c r="M366" s="777"/>
      <c r="N366" s="92"/>
      <c r="O366" s="4211" t="s">
        <v>4262</v>
      </c>
      <c r="P366" s="4211"/>
      <c r="Q366" s="108"/>
    </row>
    <row r="367" spans="1:18" s="414" customFormat="1" ht="12.75" customHeight="1">
      <c r="A367" s="413"/>
      <c r="B367" s="1677" t="s">
        <v>2324</v>
      </c>
      <c r="C367" s="4212" t="s">
        <v>6520</v>
      </c>
      <c r="D367" s="4212"/>
      <c r="E367" s="4212"/>
      <c r="F367" s="4212"/>
      <c r="G367" s="4212"/>
      <c r="H367" s="4212"/>
      <c r="I367" s="4212"/>
      <c r="J367" s="4212"/>
      <c r="K367" s="4212"/>
      <c r="L367" s="4212"/>
      <c r="N367" s="425" t="s">
        <v>2324</v>
      </c>
      <c r="O367" s="2608" t="s">
        <v>6924</v>
      </c>
      <c r="P367" s="3016"/>
    </row>
    <row r="368" spans="1:18" s="414" customFormat="1" ht="12.75" customHeight="1">
      <c r="A368" s="413"/>
      <c r="B368" s="1677" t="s">
        <v>2325</v>
      </c>
      <c r="C368" s="4212" t="s">
        <v>6521</v>
      </c>
      <c r="D368" s="4212"/>
      <c r="E368" s="4212"/>
      <c r="F368" s="4212"/>
      <c r="G368" s="4212"/>
      <c r="H368" s="4212"/>
      <c r="I368" s="4212"/>
      <c r="J368" s="4212"/>
      <c r="K368" s="4212"/>
      <c r="L368" s="4212"/>
      <c r="M368" s="921"/>
      <c r="N368" s="425" t="s">
        <v>2325</v>
      </c>
      <c r="O368" s="2611" t="s">
        <v>6924</v>
      </c>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6522</v>
      </c>
      <c r="D370" s="33"/>
      <c r="M370" s="417">
        <v>2</v>
      </c>
      <c r="N370" s="1736" t="s">
        <v>1895</v>
      </c>
      <c r="O370" s="2612"/>
      <c r="P370" s="3020"/>
      <c r="Q370" s="892" t="s">
        <v>2554</v>
      </c>
      <c r="S370" s="43"/>
      <c r="T370" s="43"/>
      <c r="U370" s="43"/>
    </row>
    <row r="371" spans="1:23" ht="12" customHeight="1">
      <c r="A371" s="478"/>
      <c r="B371" s="783" t="s">
        <v>6558</v>
      </c>
      <c r="C371" s="478"/>
      <c r="D371" s="478"/>
      <c r="E371" s="478"/>
      <c r="F371" s="478"/>
      <c r="J371" s="902"/>
      <c r="K371" s="902"/>
      <c r="L371" s="902"/>
      <c r="O371" s="4387" t="s">
        <v>4262</v>
      </c>
      <c r="P371" s="4387"/>
      <c r="Q371" s="2644"/>
      <c r="R371" s="43"/>
      <c r="S371" s="43"/>
      <c r="T371" s="43"/>
      <c r="U371" s="43"/>
    </row>
    <row r="372" spans="1:23" s="401" customFormat="1" ht="11.25" customHeight="1">
      <c r="A372" s="1678"/>
      <c r="B372" s="423" t="s">
        <v>1896</v>
      </c>
      <c r="C372" s="4206" t="s">
        <v>6559</v>
      </c>
      <c r="D372" s="4206"/>
      <c r="E372" s="4206"/>
      <c r="F372" s="4206"/>
      <c r="G372" s="4206"/>
      <c r="H372" s="4206"/>
      <c r="I372" s="4206"/>
      <c r="J372" s="4206"/>
      <c r="K372" s="4206"/>
      <c r="L372" s="4206"/>
      <c r="M372" s="4206"/>
      <c r="N372" s="381" t="s">
        <v>1896</v>
      </c>
      <c r="O372" s="2613" t="s">
        <v>6949</v>
      </c>
      <c r="P372" s="3021"/>
      <c r="Q372" s="1679"/>
    </row>
    <row r="373" spans="1:23" s="101" customFormat="1" ht="11.25" customHeight="1">
      <c r="A373" s="151"/>
      <c r="B373" s="423" t="s">
        <v>1898</v>
      </c>
      <c r="C373" s="2614" t="s">
        <v>6560</v>
      </c>
      <c r="D373" s="2615"/>
      <c r="E373" s="2615"/>
      <c r="F373" s="2615"/>
      <c r="G373" s="2615"/>
      <c r="H373" s="2615"/>
      <c r="I373" s="2615"/>
      <c r="J373" s="2615"/>
      <c r="K373" s="2615"/>
      <c r="L373" s="2615"/>
      <c r="M373" s="2615"/>
      <c r="N373" s="381" t="s">
        <v>1898</v>
      </c>
      <c r="O373" s="2616" t="s">
        <v>6949</v>
      </c>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176" t="s">
        <v>6935</v>
      </c>
      <c r="B375" s="4177"/>
      <c r="C375" s="4177"/>
      <c r="D375" s="4177"/>
      <c r="E375" s="4177"/>
      <c r="F375" s="4177"/>
      <c r="G375" s="4177"/>
      <c r="H375" s="4177"/>
      <c r="I375" s="4177"/>
      <c r="J375" s="4177"/>
      <c r="K375" s="4177"/>
      <c r="L375" s="4177"/>
      <c r="M375" s="4177"/>
      <c r="N375" s="4177"/>
      <c r="O375" s="4177"/>
      <c r="P375" s="4178"/>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3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3527</v>
      </c>
      <c r="B379" s="104" t="s">
        <v>6524</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1.1"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3528</v>
      </c>
      <c r="B383" s="104" t="s">
        <v>6525</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1.1"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3529</v>
      </c>
      <c r="B387" s="104" t="s">
        <v>6526</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1.1"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3530</v>
      </c>
      <c r="B391" s="104" t="s">
        <v>6527</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1.1"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3531</v>
      </c>
      <c r="B395" s="105" t="s">
        <v>6561</v>
      </c>
      <c r="C395" s="87"/>
      <c r="D395" s="58"/>
      <c r="E395" s="52"/>
      <c r="G395" s="55"/>
      <c r="I395" s="1682" t="s">
        <v>6530</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69.5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0" t="s">
        <v>6280</v>
      </c>
      <c r="B403" s="4200"/>
      <c r="C403" s="4200"/>
      <c r="D403" s="4200"/>
      <c r="E403" s="4200"/>
      <c r="F403" s="4200"/>
      <c r="G403" s="4200"/>
      <c r="H403" s="4200"/>
      <c r="I403" s="4200"/>
      <c r="J403" s="4200"/>
      <c r="K403" s="4200"/>
      <c r="L403" s="4200"/>
      <c r="M403" s="4200"/>
      <c r="N403" s="4200"/>
      <c r="O403" s="4200"/>
      <c r="P403" s="4200"/>
    </row>
    <row r="404" spans="1:18" s="43" customFormat="1" ht="409.35" customHeight="1">
      <c r="A404" s="3958" t="s">
        <v>6988</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7" t="s">
        <v>1443</v>
      </c>
      <c r="H424" s="4197"/>
      <c r="I424" s="4197"/>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4269</v>
      </c>
      <c r="H425" s="1840" t="s">
        <v>4270</v>
      </c>
      <c r="I425" s="1839" t="s">
        <v>4268</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4272</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4271</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4271</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4271</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4271</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4272</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4272</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4271</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4272</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4271</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4271</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4271</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4271</v>
      </c>
      <c r="J441" s="1845" t="s">
        <v>3393</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4271</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4271</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4271</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4272</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4271</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4271</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4271</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4272</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4271</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4271</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4272</v>
      </c>
      <c r="I452" s="1839" t="s">
        <v>2543</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4272</v>
      </c>
      <c r="I453" s="1839" t="s">
        <v>2543</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4271</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4271</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4271</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4271</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4271</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4266</v>
      </c>
      <c r="H459" s="1812" t="s">
        <v>4272</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4272</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4272</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4272</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4271</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4271</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4271</v>
      </c>
      <c r="J465" s="1840"/>
      <c r="K465" s="433"/>
      <c r="L465" s="1840"/>
      <c r="M465" s="433"/>
      <c r="N465" s="1812"/>
      <c r="O465" s="1833"/>
      <c r="P465" s="1833"/>
      <c r="Q465" s="1834"/>
      <c r="R465" s="1831"/>
    </row>
    <row r="466" spans="1:18" s="157" customFormat="1">
      <c r="A466" s="1831"/>
      <c r="B466" s="1831"/>
      <c r="C466" s="1847"/>
      <c r="D466" s="433"/>
      <c r="E466" s="433"/>
      <c r="F466" s="433"/>
      <c r="G466" s="1842" t="s">
        <v>4267</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4271</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4271</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4271</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4271</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4271</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4271</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4271</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4272</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pYoLcFYvCAMAY4f4xJA1Z0coHrEUGN3OdK+YX0TC1sIoI/2+tGvnqnXE61pR2Lt6oXrKyrrBAumYTWJzHk2kHg==" saltValue="Isp1l2pmB+DkQlqPO+c6Cw=="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2701</v>
      </c>
      <c r="B1" s="4432"/>
      <c r="C1" s="4432"/>
      <c r="D1" s="4432"/>
      <c r="E1" s="4432"/>
      <c r="F1" s="4432"/>
      <c r="G1" s="4432"/>
      <c r="H1" s="4432"/>
      <c r="I1" s="4432"/>
      <c r="J1" s="4432"/>
    </row>
    <row r="2" spans="1:16" ht="15.75">
      <c r="A2" s="4432" t="str">
        <f>'Sensitivity Analysis'!C8</f>
        <v>Wagon Works</v>
      </c>
      <c r="B2" s="4432"/>
      <c r="C2" s="4432"/>
      <c r="D2" s="4432"/>
      <c r="E2" s="4432"/>
      <c r="F2" s="4432"/>
      <c r="G2" s="4432"/>
      <c r="H2" s="4432"/>
      <c r="I2" s="4432"/>
      <c r="J2" s="4432"/>
    </row>
    <row r="3" spans="1:16" ht="15.75">
      <c r="A3" s="4432" t="str">
        <f>'Subsidy Layering Memo'!F14</f>
        <v>East Point, Fulton</v>
      </c>
      <c r="B3" s="4432"/>
      <c r="C3" s="4432"/>
      <c r="D3" s="4432"/>
      <c r="E3" s="4432"/>
      <c r="F3" s="4432"/>
      <c r="G3" s="4432"/>
      <c r="H3" s="4432"/>
      <c r="I3" s="4432"/>
      <c r="J3" s="4432"/>
    </row>
    <row r="4" spans="1:16" ht="15.75">
      <c r="A4" s="4433" t="s">
        <v>2702</v>
      </c>
      <c r="B4" s="4432"/>
      <c r="C4" s="4432"/>
      <c r="D4" s="4432"/>
      <c r="E4" s="4432"/>
      <c r="F4" s="4432"/>
      <c r="G4" s="4432"/>
      <c r="H4" s="4432"/>
      <c r="I4" s="4432"/>
      <c r="J4" s="4432"/>
    </row>
    <row r="5" spans="1:16" ht="5.25" customHeight="1"/>
    <row r="6" spans="1:16" ht="5.25" customHeight="1"/>
    <row r="7" spans="1:16" ht="15.75">
      <c r="A7" s="4434" t="s">
        <v>2703</v>
      </c>
      <c r="B7" s="4434"/>
      <c r="C7" s="4435"/>
      <c r="M7" s="4436"/>
      <c r="N7" s="4436"/>
      <c r="O7" s="4436"/>
      <c r="P7" s="4436"/>
    </row>
    <row r="8" spans="1:16" ht="57" customHeight="1">
      <c r="A8" s="4437" t="s">
        <v>6401</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East Point, Fulton County, Georgia, with the development of 89 units set aside for Family.</v>
      </c>
      <c r="B9" s="4437"/>
      <c r="C9" s="4437"/>
      <c r="D9" s="4437"/>
      <c r="E9" s="4437"/>
      <c r="F9" s="4437"/>
      <c r="G9" s="4437"/>
      <c r="H9" s="4437"/>
      <c r="I9" s="4437"/>
      <c r="J9" s="4437"/>
      <c r="K9" s="580"/>
    </row>
    <row r="10" spans="1:16" ht="15.75">
      <c r="A10" s="581" t="s">
        <v>2704</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2705</v>
      </c>
      <c r="B14" s="582"/>
    </row>
    <row r="15" spans="1:16">
      <c r="A15" s="579" t="s">
        <v>2706</v>
      </c>
      <c r="D15" s="1337" t="s">
        <v>2707</v>
      </c>
    </row>
    <row r="16" spans="1:16">
      <c r="A16" s="579" t="s">
        <v>2708</v>
      </c>
      <c r="D16" s="1335">
        <f>'Sensitivity Analysis'!C25</f>
        <v>6000000</v>
      </c>
    </row>
    <row r="17" spans="1:11">
      <c r="A17" s="583" t="s">
        <v>2709</v>
      </c>
      <c r="D17" s="1336">
        <f>'Sensitivity Analysis'!C13</f>
        <v>89</v>
      </c>
    </row>
    <row r="18" spans="1:11" ht="14.25" customHeight="1"/>
    <row r="19" spans="1:11" ht="15.75">
      <c r="A19" s="581" t="s">
        <v>2710</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Boston Financial Investment Management, LP will make a capital contribution totaling 8909100 via the syndication of the 2021 Federal LIHTC allocation of 1000000 per annum.Boston Financial Investment Management, LP will make a capital contribution totaling 6090000 via the syndication of the 2021 State LIHTC allocation of 1000000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1.5 (0.9 Federal tax credit and 0.6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6402</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Wagon Works</v>
      </c>
    </row>
    <row r="13" spans="1:10" ht="15">
      <c r="A13" s="589"/>
      <c r="D13" s="588" t="s">
        <v>2724</v>
      </c>
      <c r="F13" s="1334" t="str">
        <f>'Sensitivity Analysis'!E8</f>
        <v>2021-006</v>
      </c>
    </row>
    <row r="14" spans="1:10" ht="15">
      <c r="A14" s="589"/>
      <c r="D14" s="588" t="s">
        <v>2725</v>
      </c>
      <c r="F14" s="1334" t="str">
        <f>'Sensitivity Analysis'!H8</f>
        <v>East Point, Fulton</v>
      </c>
    </row>
    <row r="15" spans="1:10" ht="15">
      <c r="A15" s="589"/>
      <c r="D15" s="588" t="s">
        <v>3066</v>
      </c>
      <c r="F15" s="4454">
        <f>'Sensitivity Analysis'!$C$25</f>
        <v>6000000</v>
      </c>
      <c r="G15" s="4454"/>
      <c r="H15" s="4454"/>
    </row>
    <row r="16" spans="1:10" ht="15">
      <c r="A16" s="589"/>
      <c r="D16" s="591" t="s">
        <v>2726</v>
      </c>
      <c r="F16" s="592">
        <f>'Sensitivity Analysis'!C13</f>
        <v>89</v>
      </c>
      <c r="G16" s="593" t="s">
        <v>3067</v>
      </c>
      <c r="H16" s="1038">
        <f>'Sensitivity Analysis'!E13</f>
        <v>89</v>
      </c>
    </row>
    <row r="17" spans="1:18" ht="15">
      <c r="A17" s="589"/>
      <c r="D17" s="591" t="s">
        <v>2691</v>
      </c>
      <c r="F17" s="592" t="str">
        <f>'Sensitivity Analysis'!C14</f>
        <v>Family</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6404</v>
      </c>
    </row>
    <row r="22" spans="1:18" ht="111.75" customHeight="1">
      <c r="A22" s="4444" t="s">
        <v>3220</v>
      </c>
      <c r="B22" s="4444"/>
      <c r="C22" s="4444"/>
      <c r="D22" s="4444"/>
      <c r="E22" s="4444"/>
      <c r="F22" s="4444"/>
      <c r="G22" s="4444"/>
      <c r="H22" s="4444"/>
      <c r="I22" s="4444"/>
      <c r="J22" s="4444"/>
      <c r="K22" s="4443" t="s">
        <v>4088</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6403</v>
      </c>
    </row>
    <row r="27" spans="1:18" ht="14.25" customHeight="1">
      <c r="A27" s="4446" t="s">
        <v>6405</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6406</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2727</v>
      </c>
    </row>
    <row r="47" spans="1:10" ht="135" customHeight="1">
      <c r="A47" s="4442" t="s">
        <v>6407</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2728</v>
      </c>
    </row>
    <row r="50" spans="1:12" ht="33" customHeight="1">
      <c r="A50" s="4437" t="s">
        <v>3605</v>
      </c>
      <c r="B50" s="4439"/>
      <c r="C50" s="4439"/>
      <c r="D50" s="4439"/>
      <c r="E50" s="4439"/>
      <c r="F50" s="4439"/>
      <c r="G50" s="4439"/>
      <c r="H50" s="4439"/>
      <c r="I50" s="4439"/>
      <c r="J50" s="4437"/>
    </row>
    <row r="51" spans="1:12" ht="3" customHeight="1"/>
    <row r="52" spans="1:12" ht="72.75" customHeight="1">
      <c r="A52" s="4437" t="s">
        <v>3606</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3607</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3608</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3076</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3609</v>
      </c>
      <c r="B60" s="4450"/>
      <c r="C60" s="4450"/>
      <c r="D60" s="4450"/>
      <c r="E60" s="4450"/>
      <c r="F60" s="4450"/>
      <c r="G60" s="4450"/>
      <c r="H60" s="4450"/>
      <c r="I60" s="4450"/>
      <c r="J60" s="4450"/>
    </row>
    <row r="61" spans="1:12" ht="3" customHeight="1"/>
    <row r="62" spans="1:12" ht="73.5" customHeight="1">
      <c r="A62" s="4437" t="s">
        <v>3610</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44" t="s">
        <v>2730</v>
      </c>
      <c r="B65" s="4444"/>
      <c r="C65" s="4444"/>
      <c r="D65" s="4444"/>
      <c r="E65" s="4444"/>
      <c r="F65" s="4444"/>
      <c r="G65" s="4444"/>
      <c r="H65" s="4444"/>
      <c r="I65" s="4444"/>
      <c r="J65" s="4444"/>
      <c r="L65" s="596">
        <f>'Closing term sheet'!C135</f>
        <v>735110</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Boston Financial Investment Management, LP will make a capital contribution totaling 8909100 via the syndication of the 2021 Federal LIHTC allocation of 1000000 per annum.Boston Financial Investment Management, LP will make a capital contribution totaling 6090000 via the syndication of the 2021 State LIHTC allocation of 1000000 per annum.</v>
      </c>
      <c r="B67" s="4450"/>
      <c r="C67" s="4450"/>
      <c r="D67" s="4450"/>
      <c r="E67" s="4450"/>
      <c r="F67" s="4450"/>
      <c r="G67" s="4450"/>
      <c r="H67" s="4450"/>
      <c r="I67" s="4450"/>
      <c r="J67" s="601"/>
      <c r="L67" s="602">
        <f>'Part III-Sources of Funds'!I51</f>
        <v>8909100</v>
      </c>
      <c r="M67" s="603">
        <f>'Part IV-A-Uses of Funds'!$J$197</f>
        <v>1000000</v>
      </c>
      <c r="N67" s="604">
        <f>'Part IV-A-Uses of Funds'!N188</f>
        <v>0.9</v>
      </c>
      <c r="O67" s="602">
        <f>'Part III-Sources of Funds'!I52</f>
        <v>6090000</v>
      </c>
      <c r="P67" s="603">
        <f>M67</f>
        <v>1000000</v>
      </c>
      <c r="Q67" s="604">
        <f>'Part IV-A-Uses of Funds'!Q188</f>
        <v>0.6</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 Federal tax credit and 0.6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2731</v>
      </c>
    </row>
    <row r="70" spans="1:17" ht="177" customHeight="1">
      <c r="A70" s="4450" t="s">
        <v>6408</v>
      </c>
      <c r="B70" s="4450"/>
      <c r="C70" s="4450"/>
      <c r="D70" s="4450"/>
      <c r="E70" s="4450"/>
      <c r="F70" s="4450"/>
      <c r="G70" s="4450"/>
      <c r="H70" s="4450"/>
      <c r="I70" s="4450"/>
      <c r="J70" s="4450"/>
      <c r="L70" s="606">
        <f>'Part VII-Pro Forma'!K72</f>
        <v>3652057.4464392178</v>
      </c>
      <c r="M70" s="4452" t="s">
        <v>3219</v>
      </c>
      <c r="N70" s="4453"/>
    </row>
    <row r="71" spans="1:17" ht="6" customHeight="1">
      <c r="A71" s="594"/>
    </row>
    <row r="72" spans="1:17" ht="15">
      <c r="A72" s="594" t="s">
        <v>2732</v>
      </c>
    </row>
    <row r="73" spans="1:17" ht="72.599999999999994" customHeight="1">
      <c r="A73" s="4450" t="s">
        <v>2733</v>
      </c>
      <c r="B73" s="4450"/>
      <c r="C73" s="4450"/>
      <c r="D73" s="4450"/>
      <c r="E73" s="4450"/>
      <c r="F73" s="4450"/>
      <c r="G73" s="4450"/>
      <c r="H73" s="4450"/>
      <c r="I73" s="4450"/>
      <c r="J73" s="4450"/>
    </row>
    <row r="74" spans="1:17" ht="36" customHeight="1">
      <c r="A74" s="4450" t="s">
        <v>2734</v>
      </c>
      <c r="B74" s="4450"/>
      <c r="C74" s="4450"/>
      <c r="D74" s="4450"/>
      <c r="E74" s="4450"/>
      <c r="F74" s="4450"/>
      <c r="G74" s="4450"/>
      <c r="H74" s="4450"/>
      <c r="I74" s="4450"/>
      <c r="J74" s="4450"/>
    </row>
    <row r="75" spans="1:17" ht="6" customHeight="1">
      <c r="A75" s="594"/>
    </row>
    <row r="76" spans="1:17" ht="15">
      <c r="A76" s="594" t="s">
        <v>2735</v>
      </c>
    </row>
    <row r="77" spans="1:17" ht="105.75" customHeight="1">
      <c r="A77" s="4437" t="s">
        <v>2736</v>
      </c>
      <c r="B77" s="4437"/>
      <c r="C77" s="4437"/>
      <c r="D77" s="4437"/>
      <c r="E77" s="4437"/>
      <c r="F77" s="4437"/>
      <c r="G77" s="4437"/>
      <c r="H77" s="4437"/>
      <c r="I77" s="4437"/>
      <c r="J77" s="4437"/>
    </row>
    <row r="78" spans="1:17" ht="6" customHeight="1">
      <c r="A78" s="594"/>
    </row>
    <row r="79" spans="1:17" ht="15">
      <c r="A79" s="594" t="s">
        <v>2737</v>
      </c>
    </row>
    <row r="80" spans="1:17" ht="66" customHeight="1">
      <c r="A80" s="4437" t="s">
        <v>2738</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2739</v>
      </c>
      <c r="B82" s="593"/>
      <c r="C82" s="593"/>
      <c r="D82" s="1334"/>
      <c r="E82" s="593"/>
      <c r="F82" s="593"/>
      <c r="G82" s="593"/>
      <c r="H82" s="593"/>
      <c r="I82" s="593"/>
      <c r="J82" s="607"/>
    </row>
    <row r="83" spans="1:15" s="1330" customFormat="1" ht="63" customHeight="1">
      <c r="A83" s="4437" t="s">
        <v>3812</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2740</v>
      </c>
      <c r="B85" s="4449"/>
      <c r="C85" s="4449"/>
      <c r="D85" s="593"/>
      <c r="E85" s="593"/>
      <c r="F85" s="593"/>
      <c r="G85" s="593"/>
      <c r="H85" s="593"/>
      <c r="I85" s="593"/>
      <c r="J85" s="607"/>
    </row>
    <row r="86" spans="1:15" ht="41.25" customHeight="1">
      <c r="A86" s="4450" t="s">
        <v>6409</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2741</v>
      </c>
    </row>
    <row r="89" spans="1:15" ht="124.35" customHeight="1">
      <c r="A89" s="4450" t="s">
        <v>2742</v>
      </c>
      <c r="B89" s="4450"/>
      <c r="C89" s="4450"/>
      <c r="D89" s="4450"/>
      <c r="E89" s="4450"/>
      <c r="F89" s="4450"/>
      <c r="G89" s="4450"/>
      <c r="H89" s="4450"/>
      <c r="I89" s="4450"/>
      <c r="J89" s="4450"/>
      <c r="L89" s="4443" t="s">
        <v>2743</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0" t="s">
        <v>2745</v>
      </c>
      <c r="B92" s="4450"/>
      <c r="C92" s="4450"/>
      <c r="D92" s="4450"/>
      <c r="E92" s="4450"/>
      <c r="F92" s="4450"/>
      <c r="G92" s="4450"/>
      <c r="H92" s="4450"/>
      <c r="I92" s="4450"/>
      <c r="J92" s="4450"/>
      <c r="L92" s="4443" t="s">
        <v>2746</v>
      </c>
      <c r="M92" s="4443"/>
      <c r="N92" s="609" t="e">
        <f>'After-Tax Analysis'!G66</f>
        <v>#VALUE!</v>
      </c>
      <c r="O92" s="610" t="s">
        <v>2747</v>
      </c>
    </row>
    <row r="93" spans="1:15" ht="6" customHeight="1">
      <c r="A93" s="594"/>
    </row>
    <row r="94" spans="1:15" ht="15">
      <c r="A94" s="594" t="s">
        <v>2748</v>
      </c>
    </row>
    <row r="95" spans="1:15" ht="118.5" customHeight="1">
      <c r="A95" s="4437" t="s">
        <v>2749</v>
      </c>
      <c r="B95" s="4437"/>
      <c r="C95" s="4437"/>
      <c r="D95" s="4437"/>
      <c r="E95" s="4437"/>
      <c r="F95" s="4437"/>
      <c r="G95" s="4437"/>
      <c r="H95" s="4437"/>
      <c r="I95" s="4437"/>
      <c r="J95" s="4437"/>
    </row>
    <row r="96" spans="1:15" ht="20.25" customHeight="1">
      <c r="A96" s="4439" t="s">
        <v>2750</v>
      </c>
      <c r="B96" s="4439"/>
      <c r="C96" s="4439"/>
      <c r="D96" s="4437"/>
      <c r="E96" s="1328"/>
      <c r="F96" s="1328"/>
      <c r="G96" s="1328"/>
      <c r="H96" s="1328"/>
      <c r="I96" s="1328"/>
      <c r="J96" s="1328"/>
    </row>
    <row r="97" spans="1:14" ht="109.5" customHeight="1">
      <c r="A97" s="4457" t="s">
        <v>2751</v>
      </c>
      <c r="B97" s="4458"/>
      <c r="C97" s="4458"/>
      <c r="D97" s="4458"/>
      <c r="E97" s="4458"/>
      <c r="F97" s="4458"/>
      <c r="G97" s="4458"/>
      <c r="H97" s="4458"/>
      <c r="I97" s="4458"/>
      <c r="J97" s="4458"/>
    </row>
    <row r="98" spans="1:14" ht="11.25" customHeight="1">
      <c r="A98" s="594"/>
    </row>
    <row r="99" spans="1:14" ht="15">
      <c r="A99" s="594" t="s">
        <v>2752</v>
      </c>
    </row>
    <row r="100" spans="1:14" ht="110.45" customHeight="1">
      <c r="A100" s="4444" t="s">
        <v>2753</v>
      </c>
      <c r="B100" s="4444"/>
      <c r="C100" s="4444"/>
      <c r="D100" s="4444"/>
      <c r="E100" s="4444"/>
      <c r="F100" s="4444"/>
      <c r="G100" s="4444"/>
      <c r="H100" s="4444"/>
      <c r="I100" s="4444"/>
      <c r="J100" s="4444"/>
      <c r="L100" s="1041">
        <f>'Part VII-Pro Forma'!K72</f>
        <v>3652057.4464392178</v>
      </c>
      <c r="M100" s="4447" t="s">
        <v>2754</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2755</v>
      </c>
      <c r="B104" s="4439"/>
      <c r="C104" s="4439"/>
      <c r="D104" s="1328"/>
      <c r="E104" s="1328"/>
      <c r="F104" s="1328"/>
      <c r="G104" s="1328"/>
      <c r="H104" s="1328"/>
      <c r="I104" s="1328"/>
      <c r="J104" s="607"/>
    </row>
    <row r="105" spans="1:14" ht="37.5" customHeight="1">
      <c r="A105" s="4450" t="s">
        <v>2756</v>
      </c>
      <c r="B105" s="4450"/>
      <c r="C105" s="4450"/>
      <c r="D105" s="4450"/>
      <c r="E105" s="4450"/>
      <c r="F105" s="4450"/>
      <c r="G105" s="4450"/>
      <c r="H105" s="4450"/>
      <c r="I105" s="4450"/>
      <c r="J105" s="4450"/>
    </row>
    <row r="106" spans="1:14" ht="6" customHeight="1">
      <c r="A106" s="594"/>
    </row>
    <row r="107" spans="1:14" ht="15">
      <c r="A107" s="594" t="s">
        <v>2757</v>
      </c>
    </row>
    <row r="108" spans="1:14" ht="43.5" customHeight="1">
      <c r="A108" s="4437" t="s">
        <v>2758</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4.1"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5" t="s">
        <v>6273</v>
      </c>
      <c r="B120" s="4455"/>
      <c r="C120" s="4455"/>
      <c r="D120" s="4455"/>
      <c r="E120" s="4456"/>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2021-006  Wagon Works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2767</v>
      </c>
      <c r="B8" s="582"/>
      <c r="C8" s="4461" t="str">
        <f>'Part I-Project Information'!F35</f>
        <v>Wagon Works</v>
      </c>
      <c r="D8" s="4461"/>
      <c r="E8" s="1089" t="str">
        <f>'Part I-Project Information'!O7</f>
        <v>2021-006</v>
      </c>
      <c r="F8" s="618" t="s">
        <v>2768</v>
      </c>
      <c r="G8" s="617"/>
      <c r="H8" s="4461" t="str">
        <f>CONCATENATE('Part I-Project Information'!F39,", ",'Part I-Project Information'!J40)</f>
        <v>East Point, Fulton</v>
      </c>
      <c r="I8" s="4461"/>
      <c r="J8" s="4461"/>
      <c r="K8" s="4461"/>
      <c r="L8" s="579"/>
      <c r="M8" s="619"/>
    </row>
    <row r="9" spans="1:14" ht="15.75">
      <c r="A9" s="582" t="s">
        <v>2770</v>
      </c>
      <c r="B9" s="582"/>
      <c r="C9" s="4461" t="s">
        <v>1691</v>
      </c>
      <c r="D9" s="4461"/>
      <c r="E9" s="617"/>
      <c r="F9" s="618" t="s">
        <v>2771</v>
      </c>
      <c r="G9" s="617"/>
      <c r="H9" s="4461" t="str">
        <f>'Part II-Development Team'!H6</f>
        <v>Hallmark Wagon Works, LP</v>
      </c>
      <c r="I9" s="4461"/>
      <c r="J9" s="4461"/>
      <c r="K9" s="4461"/>
      <c r="L9" s="4461"/>
      <c r="M9" s="619"/>
    </row>
    <row r="10" spans="1:14" ht="15.75">
      <c r="A10" s="582" t="s">
        <v>2773</v>
      </c>
      <c r="B10" s="579"/>
      <c r="C10" s="1089" t="str">
        <f>'Part II-Development Team'!H15</f>
        <v>Hallmark Wagon Works GP, LLC</v>
      </c>
      <c r="D10" s="617"/>
      <c r="E10" s="617"/>
      <c r="F10" s="618" t="s">
        <v>3253</v>
      </c>
      <c r="G10" s="617"/>
      <c r="H10" s="4461" t="str">
        <f>'Part II-Development Team'!H34</f>
        <v>Boston Financial Investment Management, LP</v>
      </c>
      <c r="I10" s="4461"/>
      <c r="J10" s="4461"/>
      <c r="K10" s="4461" t="str">
        <f>'Part II-Development Team'!H40</f>
        <v>Boston Financial Investment Management, LP</v>
      </c>
      <c r="L10" s="4461"/>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1" t="str">
        <f>'Part II-Development Team'!H55</f>
        <v>Hallmark Development Partners, LLC</v>
      </c>
      <c r="I11" s="4461"/>
      <c r="J11" s="4461"/>
      <c r="K11" s="4461">
        <f>'Part II-Development Team'!H61</f>
        <v>0</v>
      </c>
      <c r="L11" s="4461"/>
      <c r="M11" s="4461">
        <f>'Part II-Development Team'!H67</f>
        <v>0</v>
      </c>
      <c r="N11" s="4461"/>
    </row>
    <row r="12" spans="1:14" ht="15.75">
      <c r="A12" s="582" t="s">
        <v>2775</v>
      </c>
      <c r="B12" s="579"/>
      <c r="C12" s="1089" t="str">
        <f>'Part II-Development Team'!H87</f>
        <v>Great Southern, LLC</v>
      </c>
      <c r="D12" s="617"/>
      <c r="E12" s="617"/>
      <c r="F12" s="618" t="s">
        <v>2776</v>
      </c>
      <c r="G12" s="617"/>
      <c r="H12" s="4461" t="str">
        <f>'Part II-Development Team'!H93</f>
        <v xml:space="preserve">Hallmark Management, Inc. </v>
      </c>
      <c r="I12" s="4461"/>
      <c r="J12" s="4461"/>
      <c r="K12" s="4461"/>
      <c r="L12" s="579"/>
      <c r="M12" s="579"/>
    </row>
    <row r="13" spans="1:14" ht="15.75">
      <c r="A13" s="582" t="s">
        <v>2777</v>
      </c>
      <c r="B13" s="618"/>
      <c r="C13" s="578">
        <f>'Part VI-Revenues &amp; Expenses'!$P$67</f>
        <v>89</v>
      </c>
      <c r="E13" s="1036">
        <f>'Part VI-Revenues &amp; Expenses'!$P$63</f>
        <v>89</v>
      </c>
      <c r="F13" s="618" t="s">
        <v>3604</v>
      </c>
      <c r="G13" s="617"/>
      <c r="H13" s="1090">
        <f>'Part I-Project Information'!H71</f>
        <v>1</v>
      </c>
      <c r="I13" s="1037"/>
      <c r="J13" s="1037"/>
      <c r="K13" s="1090">
        <f>'Part I-Project Information'!P70</f>
        <v>100650</v>
      </c>
      <c r="L13" s="579"/>
      <c r="M13" s="579"/>
    </row>
    <row r="14" spans="1:14" ht="15.75">
      <c r="A14" s="582" t="s">
        <v>3069</v>
      </c>
      <c r="B14" s="579"/>
      <c r="C14" s="1090" t="str">
        <f>'Part I-Project Information'!H77</f>
        <v>Family</v>
      </c>
      <c r="D14" s="4461" t="str">
        <f>IF('Part I-Project Information'!N69=0,"",'Part I-Project Information'!N69)</f>
        <v/>
      </c>
      <c r="E14" s="4461"/>
      <c r="F14" s="618" t="s">
        <v>2778</v>
      </c>
      <c r="G14" s="617"/>
      <c r="H14" s="4462" t="s">
        <v>3221</v>
      </c>
      <c r="I14" s="4462"/>
      <c r="J14" s="4462"/>
      <c r="K14" s="4462" t="s">
        <v>3221</v>
      </c>
      <c r="L14" s="4462"/>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3248</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23347532</v>
      </c>
      <c r="D18" s="1071">
        <f>IF(C18=0,"",$C$29/C18)</f>
        <v>0.25698647720024542</v>
      </c>
      <c r="E18" s="617" t="s">
        <v>3073</v>
      </c>
      <c r="F18" s="618" t="s">
        <v>3074</v>
      </c>
      <c r="G18" s="617"/>
      <c r="H18" s="4463">
        <f>'Part IV-A-Uses of Funds'!C49</f>
        <v>10146000</v>
      </c>
      <c r="I18" s="4463"/>
      <c r="J18" s="1070">
        <f>IF(H18=0,"",$C$29/H18)</f>
        <v>0.59136605558840927</v>
      </c>
      <c r="K18" s="4461" t="s">
        <v>3075</v>
      </c>
      <c r="L18" s="4461"/>
      <c r="M18" s="579"/>
    </row>
    <row r="19" spans="1:13" ht="15.75">
      <c r="A19" s="582" t="s">
        <v>2780</v>
      </c>
      <c r="B19" s="579"/>
      <c r="C19" s="1091">
        <f>C18/C13</f>
        <v>262331.82022471912</v>
      </c>
      <c r="D19" s="617"/>
      <c r="E19" s="579"/>
      <c r="F19" s="582" t="s">
        <v>2780</v>
      </c>
      <c r="G19" s="579"/>
      <c r="H19" s="4464">
        <f>H18/C13</f>
        <v>114000</v>
      </c>
      <c r="I19" s="4464"/>
      <c r="J19" s="579"/>
      <c r="K19" s="579"/>
      <c r="L19" s="579"/>
      <c r="M19" s="579"/>
    </row>
    <row r="20" spans="1:13" ht="15.75">
      <c r="A20" s="582" t="s">
        <v>2781</v>
      </c>
      <c r="B20" s="579"/>
      <c r="C20" s="1093">
        <f>C18/K13</f>
        <v>231.9675310481868</v>
      </c>
      <c r="D20" s="622"/>
      <c r="E20" s="623"/>
      <c r="F20" s="582" t="s">
        <v>2781</v>
      </c>
      <c r="G20" s="579"/>
      <c r="H20" s="4465">
        <f>H18/K13</f>
        <v>100.80476900149031</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Cadence Bank</v>
      </c>
      <c r="C25" s="629">
        <f>'Part III-Sources of Funds'!I40</f>
        <v>6000000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6000000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14999100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6000000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0.25698647720024542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0.59136605558840927</v>
      </c>
      <c r="D40" s="579"/>
      <c r="E40" s="579"/>
      <c r="F40" s="582"/>
      <c r="G40" s="582" t="s">
        <v>2801</v>
      </c>
      <c r="H40" s="579"/>
      <c r="I40" s="579"/>
      <c r="K40" s="631">
        <f>C30/C18</f>
        <v>0.64242764502903349</v>
      </c>
      <c r="L40" s="579"/>
      <c r="M40" s="579"/>
    </row>
    <row r="46" spans="1:13" ht="15.75">
      <c r="A46" s="642" t="s">
        <v>2802</v>
      </c>
      <c r="B46" s="612"/>
      <c r="C46" s="612"/>
      <c r="D46" s="612"/>
      <c r="E46" s="612"/>
      <c r="F46" s="612"/>
      <c r="G46" s="612"/>
      <c r="H46" s="612"/>
      <c r="I46" s="612"/>
      <c r="J46" s="612"/>
      <c r="K46" s="612"/>
      <c r="L46" s="612"/>
      <c r="M46" s="579"/>
    </row>
    <row r="47" spans="1:13" ht="15.75">
      <c r="A47" s="642" t="str">
        <f>C8</f>
        <v>Wagon Works</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66" t="s">
        <v>2805</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930540</v>
      </c>
      <c r="D52" s="648"/>
      <c r="E52" s="648">
        <f>$C$52</f>
        <v>930540</v>
      </c>
      <c r="F52" s="648"/>
      <c r="G52" s="648">
        <f>$C$52</f>
        <v>930540</v>
      </c>
      <c r="H52" s="648"/>
      <c r="I52" s="648">
        <f>$C$52</f>
        <v>930540</v>
      </c>
      <c r="J52" s="648"/>
      <c r="K52" s="648">
        <f>$C$52</f>
        <v>930540</v>
      </c>
      <c r="L52" s="649"/>
      <c r="M52" s="27"/>
      <c r="N52" s="27"/>
    </row>
    <row r="53" spans="1:14" s="579" customFormat="1" ht="18.75" customHeight="1">
      <c r="B53" s="647" t="s">
        <v>2809</v>
      </c>
      <c r="C53" s="648">
        <f>'Part VII-Pro Forma'!B16</f>
        <v>18610.8</v>
      </c>
      <c r="D53" s="648"/>
      <c r="E53" s="648">
        <f>$C$53</f>
        <v>18610.8</v>
      </c>
      <c r="F53" s="648"/>
      <c r="G53" s="648">
        <f>$C$53</f>
        <v>18610.8</v>
      </c>
      <c r="H53" s="648"/>
      <c r="I53" s="648">
        <f>$C$53</f>
        <v>18610.8</v>
      </c>
      <c r="J53" s="648"/>
      <c r="K53" s="648">
        <f>$C$53</f>
        <v>18610.8</v>
      </c>
      <c r="L53" s="649"/>
      <c r="M53" s="27"/>
      <c r="N53" s="27"/>
    </row>
    <row r="54" spans="1:14" s="579" customFormat="1" ht="18.75" customHeight="1">
      <c r="B54" s="647" t="s">
        <v>2807</v>
      </c>
      <c r="C54" s="648">
        <f>'Part VII-Pro Forma'!B17</f>
        <v>-66440.556000000011</v>
      </c>
      <c r="D54" s="648"/>
      <c r="E54" s="648">
        <f>-($C$52+E53)*F50</f>
        <v>-94915.080000000016</v>
      </c>
      <c r="F54" s="650"/>
      <c r="G54" s="648">
        <f>-($C$52+G53)*0.07</f>
        <v>-66440.556000000011</v>
      </c>
      <c r="H54" s="648"/>
      <c r="I54" s="648">
        <f>-($C$52+I53)*0.07</f>
        <v>-66440.556000000011</v>
      </c>
      <c r="J54" s="648"/>
      <c r="K54" s="648">
        <f>-($C$52+K53)*L54</f>
        <v>-94915.080000000016</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882710.24400000006</v>
      </c>
      <c r="D56" s="648"/>
      <c r="E56" s="654">
        <f>SUM(E52:E55)</f>
        <v>854235.72</v>
      </c>
      <c r="F56" s="648"/>
      <c r="G56" s="654">
        <f>SUM(G52:G55)</f>
        <v>882710.24400000006</v>
      </c>
      <c r="H56" s="648"/>
      <c r="I56" s="654">
        <f>SUM(I52:I55)</f>
        <v>882710.24400000006</v>
      </c>
      <c r="J56" s="648"/>
      <c r="K56" s="654">
        <f>SUM(K52:K55)</f>
        <v>854235.72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119500</v>
      </c>
      <c r="D58" s="648"/>
      <c r="E58" s="648">
        <f>$C$58</f>
        <v>119500</v>
      </c>
      <c r="F58" s="648"/>
      <c r="G58" s="648">
        <f>$C$58</f>
        <v>119500</v>
      </c>
      <c r="H58" s="648"/>
      <c r="I58" s="648">
        <f>$C$58</f>
        <v>119500</v>
      </c>
      <c r="J58" s="648"/>
      <c r="K58" s="648">
        <f>$C$58</f>
        <v>119500</v>
      </c>
      <c r="L58" s="649"/>
      <c r="M58" s="27"/>
      <c r="N58" s="27"/>
    </row>
    <row r="59" spans="1:14" s="579" customFormat="1" ht="18.75" customHeight="1">
      <c r="B59" s="647" t="s">
        <v>2812</v>
      </c>
      <c r="C59" s="648">
        <f>+'Part VI-Revenues &amp; Expenses'!F244</f>
        <v>62500</v>
      </c>
      <c r="D59" s="648"/>
      <c r="E59" s="648">
        <f>$C$59</f>
        <v>62500</v>
      </c>
      <c r="F59" s="648"/>
      <c r="G59" s="648">
        <f>$C$59</f>
        <v>62500</v>
      </c>
      <c r="H59" s="648"/>
      <c r="I59" s="648">
        <f>$C$59</f>
        <v>62500</v>
      </c>
      <c r="J59" s="648"/>
      <c r="K59" s="648">
        <f>$C$59*(1+$L$59)</f>
        <v>65000</v>
      </c>
      <c r="L59" s="656">
        <v>0.04</v>
      </c>
      <c r="M59" s="27"/>
      <c r="N59" s="27"/>
    </row>
    <row r="60" spans="1:14" s="579" customFormat="1" ht="18.75" customHeight="1">
      <c r="B60" s="647" t="s">
        <v>1326</v>
      </c>
      <c r="C60" s="648">
        <f>+'Part VI-Revenues &amp; Expenses'!L237</f>
        <v>47000</v>
      </c>
      <c r="D60" s="648"/>
      <c r="E60" s="648">
        <f>$C$60</f>
        <v>47000</v>
      </c>
      <c r="F60" s="648"/>
      <c r="G60" s="648">
        <f>$C$60</f>
        <v>47000</v>
      </c>
      <c r="H60" s="648"/>
      <c r="I60" s="648">
        <f>$C$60*(1+$J$50)</f>
        <v>48410</v>
      </c>
      <c r="J60" s="650"/>
      <c r="K60" s="648">
        <f>$C$60*(1+$J$50)</f>
        <v>48410</v>
      </c>
      <c r="L60" s="651">
        <v>0.03</v>
      </c>
      <c r="M60" s="27"/>
      <c r="N60" s="27"/>
    </row>
    <row r="61" spans="1:14" s="579" customFormat="1" ht="18.75" customHeight="1">
      <c r="B61" s="647" t="s">
        <v>1327</v>
      </c>
      <c r="C61" s="648">
        <f>+'Part VI-Revenues &amp; Expenses'!L244</f>
        <v>171963</v>
      </c>
      <c r="D61" s="648"/>
      <c r="E61" s="648">
        <f>$C$61</f>
        <v>171963</v>
      </c>
      <c r="F61" s="648"/>
      <c r="G61" s="648">
        <f>$C$61*(1+H50)</f>
        <v>180561.15</v>
      </c>
      <c r="H61" s="650"/>
      <c r="I61" s="648">
        <f>$C$61</f>
        <v>171963</v>
      </c>
      <c r="J61" s="648"/>
      <c r="K61" s="648">
        <f>$C$61*(1+$L$61)</f>
        <v>180561.15</v>
      </c>
      <c r="L61" s="651">
        <v>0.05</v>
      </c>
      <c r="M61" s="27"/>
      <c r="N61" s="27"/>
    </row>
    <row r="62" spans="1:14" s="579" customFormat="1" ht="18.75" customHeight="1">
      <c r="B62" s="653" t="s">
        <v>2813</v>
      </c>
      <c r="C62" s="654">
        <f>SUM(C58:C61)</f>
        <v>400963</v>
      </c>
      <c r="D62" s="648"/>
      <c r="E62" s="654">
        <f>SUM(E58:E61)</f>
        <v>400963</v>
      </c>
      <c r="F62" s="648"/>
      <c r="G62" s="654">
        <f>SUM(G58:G61)</f>
        <v>409561.15</v>
      </c>
      <c r="H62" s="648"/>
      <c r="I62" s="654">
        <f>SUM(I58:I61)</f>
        <v>402373</v>
      </c>
      <c r="J62" s="648"/>
      <c r="K62" s="654">
        <f>SUM(K58:K61)</f>
        <v>413471.15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481747.24400000006</v>
      </c>
      <c r="D64" s="660"/>
      <c r="E64" s="660">
        <f>E56-E62</f>
        <v>453272.72</v>
      </c>
      <c r="F64" s="660"/>
      <c r="G64" s="660">
        <f>G56-G62</f>
        <v>473149.09400000004</v>
      </c>
      <c r="H64" s="660"/>
      <c r="I64" s="660">
        <f>I56-I62</f>
        <v>480337.24400000006</v>
      </c>
      <c r="J64" s="660"/>
      <c r="K64" s="660">
        <f>K56-K62</f>
        <v>440764.56999999995</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37380</v>
      </c>
      <c r="D66" s="655"/>
      <c r="E66" s="655">
        <f>$C$66</f>
        <v>37380</v>
      </c>
      <c r="F66" s="655"/>
      <c r="G66" s="655">
        <f>$C$66</f>
        <v>37380</v>
      </c>
      <c r="H66" s="655"/>
      <c r="I66" s="655">
        <f>$C$66</f>
        <v>37380</v>
      </c>
      <c r="J66" s="655"/>
      <c r="K66" s="655">
        <f>$C$66</f>
        <v>37380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44136</v>
      </c>
      <c r="D68" s="655"/>
      <c r="E68" s="655">
        <f>$C$68</f>
        <v>44136</v>
      </c>
      <c r="F68" s="655"/>
      <c r="G68" s="655">
        <f>$C$68</f>
        <v>44136</v>
      </c>
      <c r="H68" s="655"/>
      <c r="I68" s="655">
        <f>$C$68</f>
        <v>44136</v>
      </c>
      <c r="J68" s="655"/>
      <c r="K68" s="655">
        <f>$C$68</f>
        <v>44136</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400231.24400000006</v>
      </c>
      <c r="D70" s="664"/>
      <c r="E70" s="663">
        <f>E64-E66-E68</f>
        <v>371756.72</v>
      </c>
      <c r="F70" s="664"/>
      <c r="G70" s="663">
        <f>G64-G66-G68</f>
        <v>391633.09400000004</v>
      </c>
      <c r="H70" s="664"/>
      <c r="I70" s="663">
        <f>I64-I66-I68</f>
        <v>398821.24400000006</v>
      </c>
      <c r="J70" s="664"/>
      <c r="K70" s="663">
        <f>K64-K66-K68</f>
        <v>359248.56999999995</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1.2139856237973483</v>
      </c>
      <c r="D72" s="666"/>
      <c r="E72" s="1072">
        <f>-E70/E75</f>
        <v>1.1276163977594313</v>
      </c>
      <c r="F72" s="666"/>
      <c r="G72" s="1072">
        <f>-G70/G75</f>
        <v>1.1879056246775064</v>
      </c>
      <c r="H72" s="666"/>
      <c r="I72" s="1072">
        <f>-I70/I75</f>
        <v>1.2097087969498315</v>
      </c>
      <c r="J72" s="666"/>
      <c r="K72" s="1072">
        <f>-K70/K75</f>
        <v>1.0896765454666881</v>
      </c>
      <c r="L72" s="667"/>
      <c r="M72" s="243"/>
      <c r="N72" s="243"/>
    </row>
    <row r="73" spans="1:14" s="579" customFormat="1" ht="18.75" customHeight="1">
      <c r="A73" s="27"/>
      <c r="B73" s="647" t="s">
        <v>2819</v>
      </c>
      <c r="C73" s="1073">
        <f>C76/C62</f>
        <v>0.17594532969259491</v>
      </c>
      <c r="D73" s="668"/>
      <c r="E73" s="1073">
        <f>E76/E62</f>
        <v>0.10492998912501116</v>
      </c>
      <c r="F73" s="668"/>
      <c r="G73" s="1073">
        <f>G76/G62</f>
        <v>0.15125804102643015</v>
      </c>
      <c r="H73" s="668"/>
      <c r="I73" s="1073">
        <f>I76/I62</f>
        <v>0.1718245688193093</v>
      </c>
      <c r="J73" s="668"/>
      <c r="K73" s="1073">
        <f>K76/K62</f>
        <v>7.150412605457919E-2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-329683.67677046813</v>
      </c>
      <c r="D75" s="648"/>
      <c r="E75" s="648">
        <f>$C$75</f>
        <v>-329683.67677046813</v>
      </c>
      <c r="F75" s="648"/>
      <c r="G75" s="648">
        <f>$C$75</f>
        <v>-329683.67677046813</v>
      </c>
      <c r="H75" s="648"/>
      <c r="I75" s="648">
        <f>$C$75</f>
        <v>-329683.67677046813</v>
      </c>
      <c r="J75" s="648"/>
      <c r="K75" s="648">
        <f>$C$75</f>
        <v>-329683.67677046813</v>
      </c>
      <c r="L75" s="33"/>
      <c r="M75" s="27"/>
      <c r="N75" s="27"/>
    </row>
    <row r="76" spans="1:14" s="579" customFormat="1" ht="18.75" customHeight="1">
      <c r="A76" s="27"/>
      <c r="B76" s="647" t="s">
        <v>1122</v>
      </c>
      <c r="C76" s="648">
        <f>C70+C75</f>
        <v>70547.567229531938</v>
      </c>
      <c r="D76" s="648"/>
      <c r="E76" s="648">
        <f>E70+E75</f>
        <v>42073.043229531846</v>
      </c>
      <c r="F76" s="648"/>
      <c r="G76" s="648">
        <f>G70+G75</f>
        <v>61949.417229531915</v>
      </c>
      <c r="H76" s="648"/>
      <c r="I76" s="648">
        <f>I70+I75</f>
        <v>69137.567229531938</v>
      </c>
      <c r="J76" s="648"/>
      <c r="K76" s="648">
        <f>K70+K75</f>
        <v>29564.893229531823</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23347532</v>
      </c>
    </row>
    <row r="5" spans="1:7">
      <c r="A5" s="1020" t="s">
        <v>3600</v>
      </c>
      <c r="B5" s="1021">
        <f>+B18+B26+B38</f>
        <v>5863668.4224872766</v>
      </c>
    </row>
    <row r="6" spans="1:7">
      <c r="A6" s="1020" t="s">
        <v>3570</v>
      </c>
      <c r="B6" s="1022">
        <f>+B5-B4</f>
        <v>-17483863.577512722</v>
      </c>
    </row>
    <row r="7" spans="1:7">
      <c r="A7" s="1020" t="s">
        <v>3571</v>
      </c>
      <c r="B7" s="1023">
        <f>+B6/B4</f>
        <v>-0.74885275143911234</v>
      </c>
    </row>
    <row r="8" spans="1:7" ht="9" customHeight="1"/>
    <row r="9" spans="1:7">
      <c r="A9" s="1020" t="s">
        <v>3572</v>
      </c>
      <c r="B9" s="1021">
        <f>+B18+B26+B33</f>
        <v>3980016.4224872766</v>
      </c>
    </row>
    <row r="10" spans="1:7">
      <c r="A10" s="1020" t="s">
        <v>3570</v>
      </c>
      <c r="B10" s="1022">
        <f>+B9-B4</f>
        <v>-19367515.577512722</v>
      </c>
    </row>
    <row r="11" spans="1:7">
      <c r="A11" s="1020" t="s">
        <v>3571</v>
      </c>
      <c r="B11" s="1023">
        <f>+B10/B4</f>
        <v>-0.82953160006431181</v>
      </c>
    </row>
    <row r="12" spans="1:7" ht="24" customHeight="1"/>
    <row r="13" spans="1:7">
      <c r="A13" s="1019" t="s">
        <v>3573</v>
      </c>
      <c r="D13" s="1078" t="s">
        <v>3817</v>
      </c>
      <c r="E13" s="1079"/>
    </row>
    <row r="14" spans="1:7">
      <c r="A14" s="1020" t="s">
        <v>3574</v>
      </c>
      <c r="B14" s="1024">
        <f>+SUM('Part III-Sources of Funds'!L51:M52)</f>
        <v>15000000</v>
      </c>
      <c r="D14" s="1079"/>
      <c r="E14" s="1079"/>
    </row>
    <row r="15" spans="1:7">
      <c r="A15" s="1020" t="s">
        <v>3575</v>
      </c>
      <c r="B15" s="1025">
        <f>+'Part IV-A-Uses of Funds'!J186</f>
        <v>1546388</v>
      </c>
      <c r="D15" s="1079" t="s">
        <v>1953</v>
      </c>
      <c r="G15" s="1080">
        <f>'Part IV-A-Uses of Funds'!J168</f>
        <v>18424920.800000001</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8762892.3324800022</v>
      </c>
    </row>
    <row r="20" spans="1:7">
      <c r="A20" s="1020" t="s">
        <v>3578</v>
      </c>
      <c r="B20" s="1024">
        <f>+B18-B14</f>
        <v>-15000000</v>
      </c>
      <c r="D20" s="1079" t="s">
        <v>3822</v>
      </c>
      <c r="G20" s="1082">
        <f>+B14-G19</f>
        <v>6237107.6675199978</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6000000</v>
      </c>
    </row>
    <row r="25" spans="1:7">
      <c r="A25" s="1020" t="s">
        <v>3582</v>
      </c>
      <c r="B25" s="1028">
        <f>IF('Part III-Sources of Funds'!E6="Yes","N/A",MAX(B46:P46))</f>
        <v>-3842.3598961986136</v>
      </c>
    </row>
    <row r="26" spans="1:7">
      <c r="A26" s="1020" t="s">
        <v>3583</v>
      </c>
      <c r="B26" s="1018">
        <f>IFERROR(PV('Part III-Sources of Funds'!K40,'Part III-Sources of Funds'!L40,B25+B45),B24)</f>
        <v>3980016.4224872766</v>
      </c>
    </row>
    <row r="27" spans="1:7" ht="9" customHeight="1">
      <c r="B27" s="1018"/>
    </row>
    <row r="28" spans="1:7">
      <c r="A28" s="1020" t="s">
        <v>3584</v>
      </c>
      <c r="B28" s="1029">
        <f>+B26-B24</f>
        <v>-2019983.5775127234</v>
      </c>
      <c r="C28" s="1030"/>
    </row>
    <row r="29" spans="1:7">
      <c r="A29" s="1020" t="s">
        <v>3579</v>
      </c>
      <c r="B29" s="1031">
        <f>+B28/B24</f>
        <v>-0.33666392958545388</v>
      </c>
    </row>
    <row r="30" spans="1:7" ht="24" customHeight="1"/>
    <row r="31" spans="1:7">
      <c r="A31" s="1019" t="s">
        <v>3509</v>
      </c>
    </row>
    <row r="32" spans="1:7">
      <c r="A32" s="1020" t="s">
        <v>3585</v>
      </c>
      <c r="B32" s="1032">
        <f>+'Part III-Sources of Funds'!I45</f>
        <v>464780</v>
      </c>
    </row>
    <row r="33" spans="1:11">
      <c r="A33" s="1020" t="s">
        <v>3586</v>
      </c>
      <c r="B33" s="1018"/>
    </row>
    <row r="34" spans="1:11" ht="9" customHeight="1">
      <c r="B34" s="1018"/>
    </row>
    <row r="35" spans="1:11">
      <c r="A35" s="1020" t="s">
        <v>3587</v>
      </c>
      <c r="B35" s="1032">
        <f>+B33-B32</f>
        <v>-464780</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1883652</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400231.24400000006</v>
      </c>
      <c r="C44" s="1021">
        <f>+'Part VII-Pro Forma'!C25</f>
        <v>403853.15888</v>
      </c>
      <c r="D44" s="1021">
        <f>+'Part VII-Pro Forma'!D25</f>
        <v>407414.64915760001</v>
      </c>
      <c r="E44" s="1021">
        <f>+'Part VII-Pro Forma'!E25</f>
        <v>410912.94125375198</v>
      </c>
      <c r="F44" s="1021">
        <f>+'Part VII-Pro Forma'!F25</f>
        <v>414341.04776521714</v>
      </c>
      <c r="G44" s="1021">
        <f>+'Part VII-Pro Forma'!G25</f>
        <v>417694.75963750313</v>
      </c>
      <c r="H44" s="1021">
        <f>+'Part VII-Pro Forma'!H25</f>
        <v>420966.63807474426</v>
      </c>
      <c r="I44" s="1021">
        <f>+'Part VII-Pro Forma'!I25</f>
        <v>424152.00617806497</v>
      </c>
      <c r="J44" s="1021">
        <f>+'Part VII-Pro Forma'!J25</f>
        <v>427243.94030370697</v>
      </c>
      <c r="K44" s="1021">
        <f>+'Part VII-Pro Forma'!K25</f>
        <v>430236.26113192417</v>
      </c>
    </row>
    <row r="45" spans="1:11">
      <c r="A45" s="1020" t="s">
        <v>3591</v>
      </c>
      <c r="B45" s="1021">
        <f>SUM('Part VII-Pro Forma'!B26:B29)</f>
        <v>-329683.67677046813</v>
      </c>
      <c r="C45" s="1021">
        <f>SUM('Part VII-Pro Forma'!C26:C29)</f>
        <v>-329683.67677046813</v>
      </c>
      <c r="D45" s="1021">
        <f>SUM('Part VII-Pro Forma'!D26:D29)</f>
        <v>-329683.67677046813</v>
      </c>
      <c r="E45" s="1021">
        <f>SUM('Part VII-Pro Forma'!E26:E29)</f>
        <v>-329683.67677046813</v>
      </c>
      <c r="F45" s="1021">
        <f>SUM('Part VII-Pro Forma'!F26:F29)</f>
        <v>-329683.67677046813</v>
      </c>
      <c r="G45" s="1021">
        <f>SUM('Part VII-Pro Forma'!G26:G29)</f>
        <v>-329683.67677046813</v>
      </c>
      <c r="H45" s="1021">
        <f>SUM('Part VII-Pro Forma'!H26:H29)</f>
        <v>-329683.67677046813</v>
      </c>
      <c r="I45" s="1021">
        <f>SUM('Part VII-Pro Forma'!I26:I29)</f>
        <v>-329683.67677046813</v>
      </c>
      <c r="J45" s="1021">
        <f>SUM('Part VII-Pro Forma'!J26:J29)</f>
        <v>-329683.67677046813</v>
      </c>
      <c r="K45" s="1021">
        <f>SUM('Part VII-Pro Forma'!K26:K29)</f>
        <v>-329683.67677046813</v>
      </c>
    </row>
    <row r="46" spans="1:11">
      <c r="A46" s="1020" t="s">
        <v>3592</v>
      </c>
      <c r="B46" s="1022">
        <f t="shared" ref="B46:K46" si="0">-B44/B48-B45</f>
        <v>-3842.3598961986136</v>
      </c>
      <c r="C46" s="1022">
        <f t="shared" si="0"/>
        <v>-6860.6222961985623</v>
      </c>
      <c r="D46" s="1022">
        <f t="shared" si="0"/>
        <v>-9828.5308608652558</v>
      </c>
      <c r="E46" s="1022">
        <f t="shared" si="0"/>
        <v>-12743.774274325231</v>
      </c>
      <c r="F46" s="1022">
        <f t="shared" si="0"/>
        <v>-15600.529700546176</v>
      </c>
      <c r="G46" s="1022">
        <f t="shared" si="0"/>
        <v>-18395.289594117843</v>
      </c>
      <c r="H46" s="1022">
        <f t="shared" si="0"/>
        <v>-21121.854958485463</v>
      </c>
      <c r="I46" s="1022">
        <f t="shared" si="0"/>
        <v>-23776.328377919388</v>
      </c>
      <c r="J46" s="1022">
        <f t="shared" si="0"/>
        <v>-26352.940149287693</v>
      </c>
      <c r="K46" s="1022">
        <f t="shared" si="0"/>
        <v>-28846.540839468711</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400231.24400000006</v>
      </c>
      <c r="C51" s="1022">
        <f t="shared" ref="C51:K51" si="2">+C44</f>
        <v>403853.15888</v>
      </c>
      <c r="D51" s="1022">
        <f t="shared" si="2"/>
        <v>407414.64915760001</v>
      </c>
      <c r="E51" s="1022">
        <f t="shared" si="2"/>
        <v>410912.94125375198</v>
      </c>
      <c r="F51" s="1022">
        <f t="shared" si="2"/>
        <v>414341.04776521714</v>
      </c>
      <c r="G51" s="1022">
        <f t="shared" si="2"/>
        <v>417694.75963750313</v>
      </c>
      <c r="H51" s="1022">
        <f t="shared" si="2"/>
        <v>420966.63807474426</v>
      </c>
      <c r="I51" s="1022">
        <f t="shared" si="2"/>
        <v>424152.00617806497</v>
      </c>
      <c r="J51" s="1022">
        <f t="shared" si="2"/>
        <v>427243.94030370697</v>
      </c>
      <c r="K51" s="1022">
        <f t="shared" si="2"/>
        <v>430236.26113192417</v>
      </c>
    </row>
    <row r="52" spans="1:17">
      <c r="A52" s="1020" t="s">
        <v>3594</v>
      </c>
      <c r="B52" s="1022">
        <f>IF($B$25="N/A",B45,B45+$B$25)</f>
        <v>-333526.03666666674</v>
      </c>
      <c r="C52" s="1022">
        <f t="shared" ref="C52:K52" si="3">IF($B$25="N/A",C45,C45+$B$25)</f>
        <v>-333526.03666666674</v>
      </c>
      <c r="D52" s="1022">
        <f t="shared" si="3"/>
        <v>-333526.03666666674</v>
      </c>
      <c r="E52" s="1022">
        <f t="shared" si="3"/>
        <v>-333526.03666666674</v>
      </c>
      <c r="F52" s="1022">
        <f t="shared" si="3"/>
        <v>-333526.03666666674</v>
      </c>
      <c r="G52" s="1022">
        <f t="shared" si="3"/>
        <v>-333526.03666666674</v>
      </c>
      <c r="H52" s="1022">
        <f t="shared" si="3"/>
        <v>-333526.03666666674</v>
      </c>
      <c r="I52" s="1022">
        <f t="shared" si="3"/>
        <v>-333526.03666666674</v>
      </c>
      <c r="J52" s="1022">
        <f t="shared" si="3"/>
        <v>-333526.03666666674</v>
      </c>
      <c r="K52" s="1022">
        <f t="shared" si="3"/>
        <v>-333526.03666666674</v>
      </c>
    </row>
    <row r="53" spans="1:17">
      <c r="A53" s="1020" t="s">
        <v>3595</v>
      </c>
      <c r="B53" s="1021">
        <f>+'Part VII-Pro Forma'!B31</f>
        <v>-3000</v>
      </c>
      <c r="C53" s="1021">
        <f>+'Part VII-Pro Forma'!C31</f>
        <v>-3000</v>
      </c>
      <c r="D53" s="1021">
        <f>+'Part VII-Pro Forma'!D31</f>
        <v>-3000</v>
      </c>
      <c r="E53" s="1021">
        <f>+'Part VII-Pro Forma'!E31</f>
        <v>-3000</v>
      </c>
      <c r="F53" s="1021">
        <f>+'Part VII-Pro Forma'!F31</f>
        <v>-3000</v>
      </c>
      <c r="G53" s="1021">
        <f>+'Part VII-Pro Forma'!G31</f>
        <v>-3000</v>
      </c>
      <c r="H53" s="1021">
        <f>+'Part VII-Pro Forma'!H31</f>
        <v>-3000</v>
      </c>
      <c r="I53" s="1021">
        <f>+'Part VII-Pro Forma'!I31</f>
        <v>-3000</v>
      </c>
      <c r="J53" s="1021">
        <f>+'Part VII-Pro Forma'!J31</f>
        <v>-3000</v>
      </c>
      <c r="K53" s="1021">
        <f>+'Part VII-Pro Forma'!K31</f>
        <v>-3000</v>
      </c>
    </row>
    <row r="54" spans="1:17">
      <c r="A54" s="1020" t="s">
        <v>3596</v>
      </c>
      <c r="B54" s="1022">
        <f>+SUM(B51:B53)</f>
        <v>63705.207333333325</v>
      </c>
      <c r="C54" s="1022">
        <f t="shared" ref="C54:K54" si="4">+SUM(C51:C53)</f>
        <v>67327.122213333263</v>
      </c>
      <c r="D54" s="1022">
        <f t="shared" si="4"/>
        <v>70888.612490933272</v>
      </c>
      <c r="E54" s="1022">
        <f t="shared" si="4"/>
        <v>74386.904587085242</v>
      </c>
      <c r="F54" s="1022">
        <f t="shared" si="4"/>
        <v>77815.0110985504</v>
      </c>
      <c r="G54" s="1022">
        <f t="shared" si="4"/>
        <v>81168.722970836388</v>
      </c>
      <c r="H54" s="1022">
        <f t="shared" si="4"/>
        <v>84440.60140807752</v>
      </c>
      <c r="I54" s="1022">
        <f t="shared" si="4"/>
        <v>87625.969511398231</v>
      </c>
      <c r="J54" s="1022">
        <f t="shared" si="4"/>
        <v>90717.903637040232</v>
      </c>
      <c r="K54" s="1022">
        <f t="shared" si="4"/>
        <v>93710.22446525743</v>
      </c>
    </row>
    <row r="55" spans="1:17">
      <c r="A55" s="1020" t="s">
        <v>3509</v>
      </c>
      <c r="B55" s="1022">
        <f>-B54</f>
        <v>-63705.207333333325</v>
      </c>
      <c r="C55" s="1022">
        <f t="shared" ref="C55:K55" si="5">-C54</f>
        <v>-67327.122213333263</v>
      </c>
      <c r="D55" s="1022">
        <f t="shared" si="5"/>
        <v>-70888.612490933272</v>
      </c>
      <c r="E55" s="1022">
        <f t="shared" si="5"/>
        <v>-74386.904587085242</v>
      </c>
      <c r="F55" s="1022">
        <f t="shared" si="5"/>
        <v>-77815.0110985504</v>
      </c>
      <c r="G55" s="1022">
        <f t="shared" si="5"/>
        <v>-81168.722970836388</v>
      </c>
      <c r="H55" s="1022">
        <f t="shared" si="5"/>
        <v>-84440.60140807752</v>
      </c>
      <c r="I55" s="1022">
        <f t="shared" si="5"/>
        <v>-87625.969511398231</v>
      </c>
      <c r="J55" s="1022">
        <f t="shared" si="5"/>
        <v>-90717.903637040232</v>
      </c>
      <c r="K55" s="1022">
        <f t="shared" si="5"/>
        <v>-93710.22446525743</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3812401.0860789786</v>
      </c>
      <c r="C58" s="1021">
        <f>IF($B$26="","",-FV('Part III-Sources of Funds'!$K$40/12,12,C52/12,B58))</f>
        <v>3637521.6837722766</v>
      </c>
      <c r="D58" s="1021">
        <f>IF($B$26="","",-FV('Part III-Sources of Funds'!$K$40/12,12,D52/12,C58))</f>
        <v>3455063.4075400112</v>
      </c>
      <c r="E58" s="1021">
        <f>IF($B$26="","",-FV('Part III-Sources of Funds'!$K$40/12,12,E52/12,D58))</f>
        <v>3264697.8062940505</v>
      </c>
      <c r="F58" s="1021">
        <f>IF($B$26="","",-FV('Part III-Sources of Funds'!$K$40/12,12,F52/12,E58))</f>
        <v>3066082.1946261823</v>
      </c>
      <c r="G58" s="1021">
        <f>IF($B$26="","",-FV('Part III-Sources of Funds'!$K$40/12,12,G52/12,F58))</f>
        <v>2858859.0359251914</v>
      </c>
      <c r="H58" s="1021">
        <f>IF($B$26="","",-FV('Part III-Sources of Funds'!$K$40/12,12,H52/12,G58))</f>
        <v>2642655.2987596341</v>
      </c>
      <c r="I58" s="1021">
        <f>IF($B$26="","",-FV('Part III-Sources of Funds'!$K$40/12,12,I52/12,H58))</f>
        <v>2417081.785367717</v>
      </c>
      <c r="J58" s="1021">
        <f>IF($B$26="","",-FV('Part III-Sources of Funds'!$K$40/12,12,J52/12,I58))</f>
        <v>2181732.4310454573</v>
      </c>
      <c r="K58" s="1021">
        <f>IF($B$26="","",-FV('Part III-Sources of Funds'!$K$40/12,12,K52/12,J58))</f>
        <v>1936183.5731719283</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433121.52443737024</v>
      </c>
      <c r="C64" s="1021">
        <f>+'Part VII-Pro Forma'!C57</f>
        <v>435893.01155140897</v>
      </c>
      <c r="D64" s="1021">
        <f>+'Part VII-Pro Forma'!D57</f>
        <v>438542.71950648783</v>
      </c>
      <c r="E64" s="1021">
        <f>+'Part VII-Pro Forma'!E57</f>
        <v>441064.35085238924</v>
      </c>
      <c r="F64" s="1021">
        <f>+'Part VII-Pro Forma'!F57</f>
        <v>443448.30313388223</v>
      </c>
      <c r="G64" s="1021">
        <f>+'Part VII-Pro Forma'!G57</f>
        <v>445686.65801893797</v>
      </c>
      <c r="H64" s="1021">
        <f>+'Part VII-Pro Forma'!H57</f>
        <v>447771.17006636638</v>
      </c>
      <c r="I64" s="1021">
        <f>+'Part VII-Pro Forma'!I57</f>
        <v>449693.25512135512</v>
      </c>
      <c r="J64" s="1021">
        <f>+'Part VII-Pro Forma'!J57</f>
        <v>451441.97832705313</v>
      </c>
      <c r="K64" s="1021">
        <f>+'Part VII-Pro Forma'!K57</f>
        <v>453008.04173996323</v>
      </c>
    </row>
    <row r="65" spans="1:11">
      <c r="A65" s="1020" t="s">
        <v>3591</v>
      </c>
      <c r="B65" s="1021">
        <f>SUM('Part VII-Pro Forma'!B58:B61)</f>
        <v>-329683.67677046813</v>
      </c>
      <c r="C65" s="1021">
        <f>SUM('Part VII-Pro Forma'!C58:C61)</f>
        <v>-329683.67677046813</v>
      </c>
      <c r="D65" s="1021">
        <f>SUM('Part VII-Pro Forma'!D58:D61)</f>
        <v>-329683.67677046813</v>
      </c>
      <c r="E65" s="1021">
        <f>SUM('Part VII-Pro Forma'!E58:E61)</f>
        <v>-329683.67677046813</v>
      </c>
      <c r="F65" s="1021">
        <f>SUM('Part VII-Pro Forma'!F58:F61)</f>
        <v>-329683.67677046813</v>
      </c>
      <c r="G65" s="1021">
        <f>SUM('Part VII-Pro Forma'!G58:G61)</f>
        <v>-329683.67677046813</v>
      </c>
      <c r="H65" s="1021">
        <f>SUM('Part VII-Pro Forma'!H58:H61)</f>
        <v>-329683.67677046813</v>
      </c>
      <c r="I65" s="1021">
        <f>SUM('Part VII-Pro Forma'!I58:I61)</f>
        <v>-329683.67677046813</v>
      </c>
      <c r="J65" s="1021">
        <f>SUM('Part VII-Pro Forma'!J58:J61)</f>
        <v>-329683.67677046813</v>
      </c>
      <c r="K65" s="1021">
        <f>SUM('Part VII-Pro Forma'!K58:K61)</f>
        <v>-329683.67677046813</v>
      </c>
    </row>
    <row r="66" spans="1:11">
      <c r="A66" s="1020" t="s">
        <v>3592</v>
      </c>
      <c r="B66" s="1022">
        <f t="shared" ref="B66:K66" si="7">-B64/B68-B65</f>
        <v>-31250.92692734045</v>
      </c>
      <c r="C66" s="1022">
        <f t="shared" si="7"/>
        <v>-33560.499522372673</v>
      </c>
      <c r="D66" s="1022">
        <f t="shared" si="7"/>
        <v>-35768.58948493842</v>
      </c>
      <c r="E66" s="1022">
        <f t="shared" si="7"/>
        <v>-37869.948939856258</v>
      </c>
      <c r="F66" s="1022">
        <f t="shared" si="7"/>
        <v>-39856.575841100421</v>
      </c>
      <c r="G66" s="1022">
        <f t="shared" si="7"/>
        <v>-41721.871578646882</v>
      </c>
      <c r="H66" s="1022">
        <f t="shared" si="7"/>
        <v>-43458.964951503847</v>
      </c>
      <c r="I66" s="1022">
        <f t="shared" si="7"/>
        <v>-45060.702497327817</v>
      </c>
      <c r="J66" s="1022">
        <f t="shared" si="7"/>
        <v>-46517.971835409524</v>
      </c>
      <c r="K66" s="1022">
        <f t="shared" si="7"/>
        <v>-47823.02467950125</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433121.52443737024</v>
      </c>
      <c r="C71" s="1022">
        <f t="shared" si="9"/>
        <v>435893.01155140897</v>
      </c>
      <c r="D71" s="1022">
        <f t="shared" si="9"/>
        <v>438542.71950648783</v>
      </c>
      <c r="E71" s="1022">
        <f t="shared" si="9"/>
        <v>441064.35085238924</v>
      </c>
      <c r="F71" s="1022">
        <f t="shared" si="9"/>
        <v>443448.30313388223</v>
      </c>
      <c r="G71" s="1022">
        <f t="shared" si="9"/>
        <v>445686.65801893797</v>
      </c>
      <c r="H71" s="1022">
        <f>+H64</f>
        <v>447771.17006636638</v>
      </c>
      <c r="I71" s="1022">
        <f>+I64</f>
        <v>449693.25512135512</v>
      </c>
      <c r="J71" s="1022">
        <f>+J64</f>
        <v>451441.97832705313</v>
      </c>
      <c r="K71" s="1022">
        <f>+K64</f>
        <v>453008.04173996323</v>
      </c>
    </row>
    <row r="72" spans="1:11">
      <c r="A72" s="1020" t="s">
        <v>3594</v>
      </c>
      <c r="B72" s="1022">
        <f t="shared" ref="B72:G72" si="10">IF($B$25="N/A",B65,B65+$B$25)</f>
        <v>-333526.03666666674</v>
      </c>
      <c r="C72" s="1022">
        <f t="shared" si="10"/>
        <v>-333526.03666666674</v>
      </c>
      <c r="D72" s="1022">
        <f t="shared" si="10"/>
        <v>-333526.03666666674</v>
      </c>
      <c r="E72" s="1022">
        <f t="shared" si="10"/>
        <v>-333526.03666666674</v>
      </c>
      <c r="F72" s="1022">
        <f t="shared" si="10"/>
        <v>-333526.03666666674</v>
      </c>
      <c r="G72" s="1022">
        <f t="shared" si="10"/>
        <v>-333526.03666666674</v>
      </c>
      <c r="H72" s="1022">
        <f>IF($B$25="N/A",H65,H65+$B$25)</f>
        <v>-333526.03666666674</v>
      </c>
      <c r="I72" s="1022">
        <f>IF($B$25="N/A",I65,I65+$B$25)</f>
        <v>-333526.03666666674</v>
      </c>
      <c r="J72" s="1022">
        <f>IF($B$25="N/A",J65,J65+$B$25)</f>
        <v>-333526.03666666674</v>
      </c>
      <c r="K72" s="1022">
        <f>IF($B$25="N/A",K65,K65+$B$25)</f>
        <v>-333526.03666666674</v>
      </c>
    </row>
    <row r="73" spans="1:11">
      <c r="A73" s="1020" t="s">
        <v>3595</v>
      </c>
      <c r="B73" s="1021">
        <f>+'Part VII-Pro Forma'!B63</f>
        <v>-3000</v>
      </c>
      <c r="C73" s="1021">
        <f>+'Part VII-Pro Forma'!C63</f>
        <v>-3000</v>
      </c>
      <c r="D73" s="1021">
        <f>+'Part VII-Pro Forma'!D63</f>
        <v>-3000</v>
      </c>
      <c r="E73" s="1021">
        <f>+'Part VII-Pro Forma'!E63</f>
        <v>-3000</v>
      </c>
      <c r="F73" s="1021">
        <f>+'Part VII-Pro Forma'!F63</f>
        <v>-3000</v>
      </c>
      <c r="G73" s="1021">
        <f>+'Part VII-Pro Forma'!G63</f>
        <v>-3000</v>
      </c>
      <c r="H73" s="1021">
        <f>+'Part VII-Pro Forma'!H63</f>
        <v>-3000</v>
      </c>
      <c r="I73" s="1021">
        <f>+'Part VII-Pro Forma'!I63</f>
        <v>-3000</v>
      </c>
      <c r="J73" s="1021">
        <f>+'Part VII-Pro Forma'!J63</f>
        <v>-3000</v>
      </c>
      <c r="K73" s="1021">
        <f>+'Part VII-Pro Forma'!K63</f>
        <v>-3000</v>
      </c>
    </row>
    <row r="74" spans="1:11">
      <c r="A74" s="1020" t="s">
        <v>3596</v>
      </c>
      <c r="B74" s="1022">
        <f t="shared" ref="B74:G74" si="11">+SUM(B71:B73)</f>
        <v>96595.487770703505</v>
      </c>
      <c r="C74" s="1022">
        <f t="shared" si="11"/>
        <v>99366.974884742231</v>
      </c>
      <c r="D74" s="1022">
        <f t="shared" si="11"/>
        <v>102016.68283982109</v>
      </c>
      <c r="E74" s="1022">
        <f t="shared" si="11"/>
        <v>104538.3141857225</v>
      </c>
      <c r="F74" s="1022">
        <f t="shared" si="11"/>
        <v>106922.26646721549</v>
      </c>
      <c r="G74" s="1022">
        <f t="shared" si="11"/>
        <v>109160.62135227124</v>
      </c>
      <c r="H74" s="1022">
        <f>+SUM(H71:H73)</f>
        <v>111245.13339969964</v>
      </c>
      <c r="I74" s="1022">
        <f>+SUM(I71:I73)</f>
        <v>113167.21845468838</v>
      </c>
      <c r="J74" s="1022">
        <f>+SUM(J71:J73)</f>
        <v>114915.94166038639</v>
      </c>
      <c r="K74" s="1022">
        <f>+SUM(K71:K73)</f>
        <v>116482.00507329649</v>
      </c>
    </row>
    <row r="75" spans="1:11">
      <c r="A75" s="1020" t="s">
        <v>3509</v>
      </c>
      <c r="B75" s="1022">
        <f t="shared" ref="B75:G75" si="12">-B74</f>
        <v>-96595.487770703505</v>
      </c>
      <c r="C75" s="1022">
        <f t="shared" si="12"/>
        <v>-99366.974884742231</v>
      </c>
      <c r="D75" s="1022">
        <f t="shared" si="12"/>
        <v>-102016.68283982109</v>
      </c>
      <c r="E75" s="1022">
        <f t="shared" si="12"/>
        <v>-104538.3141857225</v>
      </c>
      <c r="F75" s="1022">
        <f t="shared" si="12"/>
        <v>-106922.26646721549</v>
      </c>
      <c r="G75" s="1022">
        <f t="shared" si="12"/>
        <v>-109160.62135227124</v>
      </c>
      <c r="H75" s="1022">
        <f>-H74</f>
        <v>-111245.13339969964</v>
      </c>
      <c r="I75" s="1022">
        <f>-I74</f>
        <v>-113167.21845468838</v>
      </c>
      <c r="J75" s="1022">
        <f>-J74</f>
        <v>-114915.94166038639</v>
      </c>
      <c r="K75" s="1022">
        <f>-K74</f>
        <v>-116482.00507329649</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1679993.1885557256</v>
      </c>
      <c r="C78" s="1021">
        <f>IF($B$26="","",-FV('Part III-Sources of Funds'!$K$40/12,12,C72/12,B78))</f>
        <v>1412700.0977297744</v>
      </c>
      <c r="D78" s="1021">
        <f>IF($B$26="","",-FV('Part III-Sources of Funds'!$K$40/12,12,D72/12,C78))</f>
        <v>1133823.1347620874</v>
      </c>
      <c r="E78" s="1021">
        <f>IF($B$26="","",-FV('Part III-Sources of Funds'!$K$40/12,12,E72/12,D78))</f>
        <v>842860.28108801926</v>
      </c>
      <c r="F78" s="1021">
        <f>IF($B$26="","",-FV('Part III-Sources of Funds'!$K$40/12,12,F72/12,E78))</f>
        <v>539287.76180478767</v>
      </c>
      <c r="G78" s="1021">
        <f>IF($B$26="","",-FV('Part III-Sources of Funds'!$K$40/12,12,G72/12,F78))</f>
        <v>222559.10280146374</v>
      </c>
      <c r="H78" s="1021">
        <f>IF($B$26="","",-FV('Part III-Sources of Funds'!$K$40/12,12,H72/12,G78))</f>
        <v>-107895.85297287159</v>
      </c>
      <c r="I78" s="1021">
        <f>IF($B$26="","",-FV('Part III-Sources of Funds'!$K$40/12,12,I72/12,H78))</f>
        <v>-452671.97187366209</v>
      </c>
      <c r="J78" s="1021">
        <f>IF($B$26="","",-FV('Part III-Sources of Funds'!$K$40/12,12,J72/12,I78))</f>
        <v>-812389.90040570579</v>
      </c>
      <c r="K78" s="1021">
        <f>IF($B$26="","",-FV('Part III-Sources of Funds'!$K$40/12,12,K72/12,J78))</f>
        <v>-1187697.1824759543</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Wagon Works</v>
      </c>
    </row>
    <row r="2" spans="1:15" ht="13.5" customHeight="1"/>
    <row r="3" spans="1:15" ht="13.5" customHeight="1">
      <c r="A3" s="589" t="s">
        <v>2826</v>
      </c>
      <c r="C3" s="588" t="s">
        <v>2827</v>
      </c>
      <c r="E3" s="674">
        <f>SUM('Part IV-A-Uses of Funds'!J162,'Part IV-A-Uses of Funds'!M162,'Part IV-A-Uses of Funds'!P162)</f>
        <v>14173016</v>
      </c>
      <c r="F3" s="1094" t="s">
        <v>2828</v>
      </c>
      <c r="H3" s="1074">
        <v>27.5</v>
      </c>
      <c r="I3" s="588" t="s">
        <v>2357</v>
      </c>
      <c r="K3" s="593" t="s">
        <v>2849</v>
      </c>
      <c r="M3" s="1094"/>
      <c r="O3" s="675"/>
    </row>
    <row r="4" spans="1:15" ht="13.5" customHeight="1">
      <c r="C4" s="588" t="s">
        <v>3249</v>
      </c>
      <c r="E4" s="674">
        <f>SUM('Part IV-A-Uses of Funds'!G97:H101)</f>
        <v>77500</v>
      </c>
      <c r="F4" s="1094" t="s">
        <v>3814</v>
      </c>
      <c r="H4" s="589">
        <f>'Part III-Sources of Funds'!M40</f>
        <v>35</v>
      </c>
      <c r="I4" s="588" t="s">
        <v>2357</v>
      </c>
      <c r="K4" s="676" t="s">
        <v>3077</v>
      </c>
      <c r="M4" s="1094"/>
    </row>
    <row r="5" spans="1:15" ht="13.5" customHeight="1">
      <c r="C5" s="588" t="s">
        <v>3250</v>
      </c>
      <c r="E5" s="674">
        <f>SUM('Part IV-A-Uses of Funds'!G105:H111)</f>
        <v>180500</v>
      </c>
      <c r="F5" s="1094" t="s">
        <v>3813</v>
      </c>
      <c r="H5" s="1074">
        <v>15</v>
      </c>
      <c r="I5" s="588" t="s">
        <v>2357</v>
      </c>
      <c r="K5" s="675">
        <f>-E6</f>
        <v>-14999100</v>
      </c>
    </row>
    <row r="6" spans="1:15" ht="13.5" customHeight="1">
      <c r="C6" s="588" t="s">
        <v>2829</v>
      </c>
      <c r="E6" s="677">
        <f>'Part III-Sources of Funds'!$I$51+'Part III-Sources of Funds'!$I$52</f>
        <v>14999100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-0.43277046806178987</v>
      </c>
      <c r="D9" s="682">
        <f>'Part VII-Pro Forma'!C33</f>
        <v>0.48210953187663108</v>
      </c>
      <c r="E9" s="682">
        <f>'Part VII-Pro Forma'!D33</f>
        <v>-2.7612868114374578E-2</v>
      </c>
      <c r="F9" s="682">
        <f>'Part VII-Pro Forma'!E33</f>
        <v>0.26448328385595232</v>
      </c>
      <c r="G9" s="682">
        <f>'Part VII-Pro Forma'!F33</f>
        <v>0.37099474901333451</v>
      </c>
      <c r="H9" s="682">
        <f>'Part VII-Pro Forma'!G33</f>
        <v>8.2867035001982003E-2</v>
      </c>
      <c r="I9" s="682">
        <f>'Part VII-Pro Forma'!H33</f>
        <v>81847.961304276134</v>
      </c>
      <c r="K9" s="675" t="e">
        <f>F24</f>
        <v>#VALUE!</v>
      </c>
      <c r="N9" s="683" t="s">
        <v>2835</v>
      </c>
    </row>
    <row r="10" spans="1:15" ht="13.5" customHeight="1">
      <c r="A10" s="588" t="s">
        <v>2834</v>
      </c>
      <c r="C10" s="1044">
        <f>'Part III-Sources of Funds'!I40-'Part VII-Pro Forma'!B40</f>
        <v>76155.764631474391</v>
      </c>
      <c r="D10" s="684">
        <f>'Part VII-Pro Forma'!B40-'Part VII-Pro Forma'!C40</f>
        <v>79456.181554415263</v>
      </c>
      <c r="E10" s="684">
        <f>'Part VII-Pro Forma'!C40-'Part VII-Pro Forma'!D40</f>
        <v>82899.631009666249</v>
      </c>
      <c r="F10" s="684">
        <f>'Part VII-Pro Forma'!D40-'Part VII-Pro Forma'!E40</f>
        <v>86492.311700535007</v>
      </c>
      <c r="G10" s="684">
        <f>'Part VII-Pro Forma'!E40-'Part VII-Pro Forma'!F40</f>
        <v>90240.690967976116</v>
      </c>
      <c r="H10" s="684">
        <f>'Part VII-Pro Forma'!F40-'Part VII-Pro Forma'!G40</f>
        <v>94151.51643272955</v>
      </c>
      <c r="I10" s="684">
        <f>'Part VII-Pro Forma'!G40-'Part VII-Pro Forma'!H40</f>
        <v>98231.828142011538</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-37380</v>
      </c>
      <c r="D13" s="1045">
        <f>'Part VII-Pro Forma'!C23</f>
        <v>-38501.4</v>
      </c>
      <c r="E13" s="1045">
        <f>'Part VII-Pro Forma'!D23</f>
        <v>-39656.441999999995</v>
      </c>
      <c r="F13" s="1045">
        <f>'Part VII-Pro Forma'!E23</f>
        <v>-40846.135260000003</v>
      </c>
      <c r="G13" s="1045">
        <f>'Part VII-Pro Forma'!F23</f>
        <v>-42071.519317799997</v>
      </c>
      <c r="H13" s="1045">
        <f>'Part VII-Pro Forma'!G23</f>
        <v>-43333.664897333991</v>
      </c>
      <c r="I13" s="1045">
        <f>'Part VII-Pro Forma'!H23</f>
        <v>-44633.674844254019</v>
      </c>
      <c r="K13" s="675" t="e">
        <f>C44</f>
        <v>#VALUE!</v>
      </c>
      <c r="O13" s="680"/>
    </row>
    <row r="14" spans="1:15" ht="13.5" customHeight="1">
      <c r="A14" s="686" t="s">
        <v>3252</v>
      </c>
      <c r="B14" s="687"/>
      <c r="C14" s="1045">
        <f>'Part VII-Pro Forma'!B32</f>
        <v>-67548</v>
      </c>
      <c r="D14" s="1045">
        <f>'Part VII-Pro Forma'!C32</f>
        <v>-71169</v>
      </c>
      <c r="E14" s="1045">
        <f>'Part VII-Pro Forma'!D32</f>
        <v>-74731</v>
      </c>
      <c r="F14" s="1045">
        <f>'Part VII-Pro Forma'!E32</f>
        <v>-78229</v>
      </c>
      <c r="G14" s="1045">
        <f>'Part VII-Pro Forma'!F32</f>
        <v>-81657</v>
      </c>
      <c r="H14" s="1045">
        <f>'Part VII-Pro Forma'!G32</f>
        <v>-85011</v>
      </c>
      <c r="I14" s="1045">
        <f>'Part VII-Pro Forma'!H32</f>
        <v>-6435</v>
      </c>
      <c r="K14" s="675" t="e">
        <f>D44</f>
        <v>#VALUE!</v>
      </c>
      <c r="M14" s="588" t="s">
        <v>2841</v>
      </c>
      <c r="O14" s="680" t="e">
        <f>O6-O8-O12</f>
        <v>#VALUE!</v>
      </c>
    </row>
    <row r="15" spans="1:15" ht="13.5" customHeight="1">
      <c r="A15" s="688" t="s">
        <v>2837</v>
      </c>
      <c r="C15" s="689">
        <f t="shared" ref="C15:I15" si="0">$E$3/$H$3</f>
        <v>515382.4</v>
      </c>
      <c r="D15" s="689">
        <f t="shared" si="0"/>
        <v>515382.4</v>
      </c>
      <c r="E15" s="689">
        <f t="shared" si="0"/>
        <v>515382.4</v>
      </c>
      <c r="F15" s="689">
        <f t="shared" si="0"/>
        <v>515382.4</v>
      </c>
      <c r="G15" s="689">
        <f t="shared" si="0"/>
        <v>515382.4</v>
      </c>
      <c r="H15" s="689">
        <f t="shared" si="0"/>
        <v>515382.4</v>
      </c>
      <c r="I15" s="689">
        <f t="shared" si="0"/>
        <v>515382.4</v>
      </c>
      <c r="K15" s="675" t="e">
        <f>E44</f>
        <v>#VALUE!</v>
      </c>
      <c r="O15" s="680"/>
    </row>
    <row r="16" spans="1:15" ht="13.5" customHeight="1">
      <c r="A16" s="688" t="s">
        <v>2839</v>
      </c>
      <c r="C16" s="689">
        <f>IF(C$8&lt;=$H$4,($E$4/$H$4),0)+IF(C$8&lt;=$H$5,($E$5/$H$5),0)</f>
        <v>14247.619047619048</v>
      </c>
      <c r="D16" s="689">
        <f t="shared" ref="D16:I16" si="1">IF(D$8&lt;=$H$4,($E$4/$H$4),0)+IF(D$8&lt;=$H$5,($E$5/$H$5),0)</f>
        <v>14247.619047619048</v>
      </c>
      <c r="E16" s="689">
        <f t="shared" si="1"/>
        <v>14247.619047619048</v>
      </c>
      <c r="F16" s="689">
        <f t="shared" si="1"/>
        <v>14247.619047619048</v>
      </c>
      <c r="G16" s="689">
        <f t="shared" si="1"/>
        <v>14247.619047619048</v>
      </c>
      <c r="H16" s="689">
        <f t="shared" si="1"/>
        <v>14247.619047619048</v>
      </c>
      <c r="I16" s="689">
        <f t="shared" si="1"/>
        <v>14247.619047619048</v>
      </c>
      <c r="K16" s="675" t="e">
        <f>F44</f>
        <v>#VALUE!</v>
      </c>
      <c r="M16" s="588" t="s">
        <v>2843</v>
      </c>
      <c r="O16" s="680">
        <f>E3</f>
        <v>14173016</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10307648</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3865368</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3865368</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-3865368</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91468.329407596844</v>
      </c>
      <c r="D29" s="682">
        <f>'Part VII-Pro Forma'!J33</f>
        <v>94560.263533238845</v>
      </c>
      <c r="E29" s="682">
        <f>'Part VII-Pro Forma'!K33</f>
        <v>97552.584361456044</v>
      </c>
      <c r="F29" s="682">
        <f>'Part VII-Pro Forma'!B65</f>
        <v>100437.84766690212</v>
      </c>
      <c r="G29" s="682">
        <f>'Part VII-Pro Forma'!C65</f>
        <v>103209.33478094084</v>
      </c>
      <c r="H29" s="682">
        <f>'Part VII-Pro Forma'!D65</f>
        <v>105859.04273601971</v>
      </c>
      <c r="I29" s="682">
        <f>'Part VII-Pro Forma'!E65</f>
        <v>108380.67408192111</v>
      </c>
      <c r="N29" s="693"/>
      <c r="O29" s="693"/>
    </row>
    <row r="30" spans="1:17" ht="13.5" customHeight="1">
      <c r="A30" s="588" t="s">
        <v>2834</v>
      </c>
      <c r="C30" s="684">
        <f>'Part VII-Pro Forma'!H40-'Part VII-Pro Forma'!I40</f>
        <v>102488.97124260478</v>
      </c>
      <c r="D30" s="684">
        <f>'Part VII-Pro Forma'!I40-'Part VII-Pro Forma'!J40</f>
        <v>106930.60920318123</v>
      </c>
      <c r="E30" s="684">
        <f>'Part VII-Pro Forma'!J40-'Part VII-Pro Forma'!K40</f>
        <v>111564.73760964349</v>
      </c>
      <c r="F30" s="1042">
        <f>'Part VII-Pro Forma'!K40-'Part VII-Pro Forma'!B72</f>
        <v>116399.69855832681</v>
      </c>
      <c r="G30" s="1042">
        <f>'Part VII-Pro Forma'!B72-'Part VII-Pro Forma'!C72</f>
        <v>121444.19567297306</v>
      </c>
      <c r="H30" s="1042">
        <f>'Part VII-Pro Forma'!C72-'Part VII-Pro Forma'!D72</f>
        <v>126707.30977249797</v>
      </c>
      <c r="I30" s="1042">
        <f>'Part VII-Pro Forma'!D72-'Part VII-Pro Forma'!E72</f>
        <v>132198.51521777268</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-773073.60000000009</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-45972.685089581639</v>
      </c>
      <c r="D33" s="1045">
        <f>'Part VII-Pro Forma'!J23</f>
        <v>-47351.865642269084</v>
      </c>
      <c r="E33" s="1045">
        <f>'Part VII-Pro Forma'!K23</f>
        <v>-48772.42161153716</v>
      </c>
      <c r="F33" s="1045">
        <f>'Part VII-Pro Forma'!B55</f>
        <v>-50235.59425988327</v>
      </c>
      <c r="G33" s="1045">
        <f>'Part VII-Pro Forma'!C55</f>
        <v>-51742.662087679775</v>
      </c>
      <c r="H33" s="1045">
        <f>'Part VII-Pro Forma'!D55</f>
        <v>-53294.94195031016</v>
      </c>
      <c r="I33" s="1045">
        <f>'Part VII-Pro Forma'!E55</f>
        <v>-54893.790208819461</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515382.4</v>
      </c>
      <c r="D35" s="689">
        <f t="shared" si="8"/>
        <v>515382.4</v>
      </c>
      <c r="E35" s="689">
        <f t="shared" si="8"/>
        <v>515382.4</v>
      </c>
      <c r="F35" s="689">
        <f t="shared" si="8"/>
        <v>515382.4</v>
      </c>
      <c r="G35" s="689">
        <f t="shared" si="8"/>
        <v>515382.4</v>
      </c>
      <c r="H35" s="689">
        <f t="shared" si="8"/>
        <v>515382.4</v>
      </c>
      <c r="I35" s="689">
        <f t="shared" si="8"/>
        <v>515382.4</v>
      </c>
    </row>
    <row r="36" spans="1:15" ht="13.5" customHeight="1">
      <c r="A36" s="688" t="s">
        <v>2839</v>
      </c>
      <c r="C36" s="682">
        <f>IF(C$28&lt;=$H$4,($E$4/$H$4),0)+IF(C$28&lt;=$H$5,($E$5/$H$5),0)</f>
        <v>14247.619047619048</v>
      </c>
      <c r="D36" s="682">
        <f t="shared" ref="D36:I36" si="9">IF(D$28&lt;=$H$4,($E$4/$H$4),0)+IF(D$28&lt;=$H$5,($E$5/$H$5),0)</f>
        <v>14247.619047619048</v>
      </c>
      <c r="E36" s="682">
        <f t="shared" si="9"/>
        <v>14247.619047619048</v>
      </c>
      <c r="F36" s="682">
        <f t="shared" si="9"/>
        <v>14247.619047619048</v>
      </c>
      <c r="G36" s="682">
        <f t="shared" si="9"/>
        <v>14247.619047619048</v>
      </c>
      <c r="H36" s="682">
        <f t="shared" si="9"/>
        <v>14247.619047619048</v>
      </c>
      <c r="I36" s="682">
        <f t="shared" si="9"/>
        <v>14247.619047619048</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110764.62636341411</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137927.69696683343</v>
      </c>
      <c r="D50" s="1043">
        <f>'Part VII-Pro Forma'!F72-'Part VII-Pro Forma'!G72</f>
        <v>143905.16836922057</v>
      </c>
      <c r="E50" s="1043">
        <f>'Part VII-Pro Forma'!G72-'Part VII-Pro Forma'!H72</f>
        <v>150141.68973149359</v>
      </c>
      <c r="F50" s="1043">
        <f>'Part VII-Pro Forma'!H72-'Part VII-Pro Forma'!I72</f>
        <v>156648.48768732417</v>
      </c>
      <c r="G50" s="1043">
        <f>'Part VII-Pro Forma'!I72-'Part VII-Pro Forma'!J72</f>
        <v>163437.27540704748</v>
      </c>
      <c r="H50" s="1043">
        <f>'Part VII-Pro Forma'!J72-'Part VII-Pro Forma'!K72</f>
        <v>170520.27368305484</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-56540.603915084052</v>
      </c>
      <c r="D53" s="1045">
        <f>'Part VII-Pro Forma'!G55</f>
        <v>-58236.822032536576</v>
      </c>
      <c r="E53" s="1045">
        <f>'Part VII-Pro Forma'!H55</f>
        <v>-59983.926693512658</v>
      </c>
      <c r="F53" s="1045">
        <f>'Part VII-Pro Forma'!I55</f>
        <v>-61783.444494318042</v>
      </c>
      <c r="G53" s="1045">
        <f>'Part VII-Pro Forma'!J55</f>
        <v>-63636.947829147583</v>
      </c>
      <c r="H53" s="1045">
        <f>'Part VII-Pro Forma'!K55</f>
        <v>-65546.056264022001</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515382.4</v>
      </c>
      <c r="D55" s="689">
        <f t="shared" si="14"/>
        <v>515382.4</v>
      </c>
      <c r="E55" s="689">
        <f t="shared" si="14"/>
        <v>515382.4</v>
      </c>
      <c r="F55" s="689">
        <f t="shared" si="14"/>
        <v>515382.4</v>
      </c>
      <c r="G55" s="689">
        <f t="shared" si="14"/>
        <v>515382.4</v>
      </c>
      <c r="H55" s="689">
        <f t="shared" si="14"/>
        <v>515382.4</v>
      </c>
    </row>
    <row r="56" spans="1:10" ht="13.5" customHeight="1">
      <c r="A56" s="688" t="s">
        <v>2839</v>
      </c>
      <c r="C56" s="682">
        <f t="shared" ref="C56:H56" si="15">IF(C$48&lt;=$H$4,($E$4/$H$4),0)+IF(C$48&lt;=$H$5,($E$5/$H$5),0)</f>
        <v>14247.619047619048</v>
      </c>
      <c r="D56" s="682">
        <f t="shared" si="15"/>
        <v>2214.2857142857142</v>
      </c>
      <c r="E56" s="682">
        <f t="shared" si="15"/>
        <v>2214.2857142857142</v>
      </c>
      <c r="F56" s="682">
        <f t="shared" si="15"/>
        <v>2214.2857142857142</v>
      </c>
      <c r="G56" s="682">
        <f t="shared" si="15"/>
        <v>2214.2857142857142</v>
      </c>
      <c r="H56" s="682">
        <f t="shared" si="15"/>
        <v>2214.2857142857142</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85546875" style="499" customWidth="1"/>
    <col min="3" max="3" width="4.85546875" style="499" customWidth="1"/>
    <col min="4" max="4" width="6.42578125" style="499" customWidth="1"/>
    <col min="5" max="5" width="16.85546875" style="499" customWidth="1"/>
    <col min="6" max="6" width="4.85546875" style="499" customWidth="1"/>
    <col min="7" max="7" width="6.42578125" style="499" customWidth="1"/>
    <col min="8" max="8" width="16.85546875" style="499" customWidth="1"/>
    <col min="9" max="9" width="4.85546875" style="499" customWidth="1"/>
    <col min="10" max="10" width="6.42578125" style="499" customWidth="1"/>
    <col min="11" max="11" width="16.85546875" style="499" customWidth="1"/>
    <col min="12" max="16384" width="9.140625" style="499"/>
  </cols>
  <sheetData>
    <row r="1" spans="1:11" s="1543" customFormat="1" ht="17.45" customHeight="1">
      <c r="A1" s="4471" t="str">
        <f>'Sensitivity Analysis'!C8</f>
        <v>Wagon Works</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6269</v>
      </c>
      <c r="B4" s="4472"/>
      <c r="C4" s="1544"/>
      <c r="D4" s="4472" t="s">
        <v>6270</v>
      </c>
      <c r="E4" s="4472"/>
      <c r="F4" s="1545"/>
      <c r="G4" s="4472" t="s">
        <v>6271</v>
      </c>
      <c r="H4" s="4472"/>
      <c r="I4" s="1545"/>
      <c r="J4" s="4472" t="s">
        <v>6429</v>
      </c>
      <c r="K4" s="4472"/>
    </row>
    <row r="5" spans="1:11" ht="26.1" customHeight="1">
      <c r="A5" s="4473" t="str">
        <f>'Part III-Sources of Funds'!E40</f>
        <v>Cadence Bank</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27473.639730872343</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27473.639730872343</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27473.639730872343</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27473.639730872343</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27473.639730872343</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27473.639730872343</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27473.639730872343</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27473.639730872343</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27473.639730872343</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27473.639730872343</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27473.639730872343</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27473.639730872343</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27473.639730872343</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27473.639730872343</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27473.639730872343</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27473.639730872343</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27473.639730872343</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27473.639730872343</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27473.639730872343</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27473.639730872343</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27473.639730872343</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27473.639730872343</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27473.639730872343</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27473.639730872343</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27473.639730872343</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27473.639730872343</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27473.639730872343</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27473.639730872343</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27473.639730872343</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27473.639730872343</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27473.639730872343</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27473.639730872343</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27473.639730872343</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27473.639730872343</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27473.639730872343</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2021-006  Wagon Works</v>
      </c>
      <c r="B1" s="4475"/>
      <c r="C1" s="4475"/>
      <c r="D1" s="4475"/>
      <c r="E1" s="4475"/>
      <c r="F1" s="4475"/>
      <c r="G1" s="4475"/>
      <c r="H1" s="4475"/>
    </row>
    <row r="3" spans="1:13" ht="12" customHeight="1">
      <c r="A3" s="4476" t="s">
        <v>3226</v>
      </c>
      <c r="B3" s="4476"/>
      <c r="C3" s="4476"/>
      <c r="D3" s="4476"/>
      <c r="E3" s="4476"/>
      <c r="F3" s="4476"/>
      <c r="G3" s="4476"/>
      <c r="H3" s="4476"/>
      <c r="I3" s="1097"/>
      <c r="J3" s="4478" t="s">
        <v>3611</v>
      </c>
      <c r="K3" s="4478"/>
      <c r="L3" s="735"/>
      <c r="M3" s="735"/>
    </row>
    <row r="4" spans="1:13">
      <c r="J4" s="4478"/>
      <c r="K4" s="4478"/>
    </row>
    <row r="5" spans="1:13" ht="12" customHeight="1">
      <c r="A5" s="699">
        <v>1</v>
      </c>
      <c r="C5" s="699" t="s">
        <v>2859</v>
      </c>
      <c r="E5" s="717" t="str">
        <f>'Sensitivity Analysis'!H9</f>
        <v>Hallmark Wagon Works, LP</v>
      </c>
      <c r="J5" s="4478"/>
      <c r="K5" s="4478"/>
    </row>
    <row r="6" spans="1:13" ht="3" customHeight="1">
      <c r="H6" s="701"/>
      <c r="J6" s="4478"/>
      <c r="K6" s="4478"/>
    </row>
    <row r="7" spans="1:13" ht="12" customHeight="1">
      <c r="A7" s="699">
        <v>2</v>
      </c>
      <c r="C7" s="699" t="s">
        <v>2860</v>
      </c>
      <c r="E7" s="717" t="str">
        <f>'Part II-Development Team'!H7</f>
        <v>3111 Paces Mill Road, Suite A-250</v>
      </c>
      <c r="J7" s="4478"/>
      <c r="K7" s="4478"/>
    </row>
    <row r="8" spans="1:13" ht="12" customHeight="1">
      <c r="E8" s="717" t="str">
        <f>+'Part II-Development Team'!H8&amp;","&amp;" "&amp;'Part II-Development Team'!H9&amp;" "&amp;LEFT('Part II-Development Team'!J9,5)</f>
        <v>Atlanta, GA 30339</v>
      </c>
      <c r="J8" s="4478"/>
      <c r="K8" s="4478"/>
    </row>
    <row r="9" spans="1:13" ht="12" customHeight="1">
      <c r="C9" s="699" t="s">
        <v>2861</v>
      </c>
      <c r="E9" s="4477" t="str">
        <f>'Part II-Development Team'!L8</f>
        <v>TBD</v>
      </c>
      <c r="F9" s="4477"/>
      <c r="J9" s="4478"/>
      <c r="K9" s="4478"/>
    </row>
    <row r="10" spans="1:13" ht="12" customHeight="1">
      <c r="C10" s="699" t="s">
        <v>2862</v>
      </c>
      <c r="E10" s="717" t="str">
        <f>'Part II-Development Team'!Q6</f>
        <v>Martin H. Petersen</v>
      </c>
    </row>
    <row r="11" spans="1:13" ht="12" customHeight="1">
      <c r="C11" s="699" t="s">
        <v>3616</v>
      </c>
      <c r="E11" s="717" t="str">
        <f>'Part II-Development Team'!L10</f>
        <v>ppetersen@hallmarkco.com</v>
      </c>
    </row>
    <row r="12" spans="1:13" ht="12" customHeight="1">
      <c r="C12" s="699" t="s">
        <v>3612</v>
      </c>
      <c r="E12" s="1098">
        <f>'Part II-Development Team'!H10</f>
        <v>7709842100</v>
      </c>
    </row>
    <row r="13" spans="1:13" ht="12" customHeight="1">
      <c r="C13" s="699" t="s">
        <v>3615</v>
      </c>
      <c r="E13" s="1098">
        <f>'Part II-Development Team'!Q8</f>
        <v>7706350157</v>
      </c>
    </row>
    <row r="14" spans="1:13" ht="3" customHeight="1"/>
    <row r="15" spans="1:13" ht="12" customHeight="1">
      <c r="A15" s="699">
        <v>3</v>
      </c>
      <c r="C15" s="699" t="s">
        <v>2863</v>
      </c>
      <c r="E15" s="717" t="str">
        <f>'Sensitivity Analysis'!C8</f>
        <v>Wagon Works</v>
      </c>
    </row>
    <row r="16" spans="1:13" ht="12" customHeight="1">
      <c r="C16" s="699" t="s">
        <v>2864</v>
      </c>
      <c r="E16" s="717" t="str">
        <f>'Part I-Project Information'!$F$36</f>
        <v>1514 E. Cleveland Avenue</v>
      </c>
    </row>
    <row r="17" spans="1:8" ht="12" customHeight="1">
      <c r="E17" s="717" t="str">
        <f>+'Part I-Project Information'!$F$39&amp;","&amp;" GA "&amp;LEFT('Part I-Project Information'!$J$39,5)</f>
        <v>East Point, GA 30344</v>
      </c>
    </row>
    <row r="18" spans="1:8" ht="3" customHeight="1"/>
    <row r="19" spans="1:8" ht="12" customHeight="1">
      <c r="A19" s="699">
        <v>4</v>
      </c>
      <c r="C19" s="699" t="s">
        <v>2865</v>
      </c>
      <c r="E19" s="717" t="str">
        <f>'Part II-Development Team'!H93</f>
        <v xml:space="preserve">Hallmark Management, Inc. </v>
      </c>
    </row>
    <row r="20" spans="1:8" ht="12" customHeight="1">
      <c r="C20" s="699" t="s">
        <v>2866</v>
      </c>
      <c r="E20" s="717" t="str">
        <f>'Part II-Development Team'!H94</f>
        <v>3111 Paces Mill Road, Suite A-250</v>
      </c>
    </row>
    <row r="21" spans="1:8" ht="12" customHeight="1">
      <c r="E21" s="717" t="str">
        <f>+'Part II-Development Team'!H95&amp;","&amp;" "&amp;'Part II-Development Team'!H96&amp;" "&amp;LEFT('Part II-Development Team'!L96,5)</f>
        <v>Atlanta, GA 30339</v>
      </c>
    </row>
    <row r="22" spans="1:8" ht="12" customHeight="1">
      <c r="C22" s="699" t="s">
        <v>3612</v>
      </c>
      <c r="E22" s="1098">
        <f>'Part II-Development Team'!H97</f>
        <v>7709842100</v>
      </c>
    </row>
    <row r="23" spans="1:8" ht="12" customHeight="1">
      <c r="C23" s="699" t="s">
        <v>3615</v>
      </c>
      <c r="E23" s="1098">
        <f>'Part II-Development Team'!Q95</f>
        <v>7706350157</v>
      </c>
    </row>
    <row r="24" spans="1:8" ht="12" customHeight="1">
      <c r="C24" s="699" t="s">
        <v>3616</v>
      </c>
      <c r="E24" s="1098" t="str">
        <f>'Part II-Development Team'!L97</f>
        <v>ppetersen@hallmarkco.com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12500000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204</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Hallmark Wagon Works GP,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89</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2</v>
      </c>
      <c r="G58" s="699" t="s">
        <v>3227</v>
      </c>
    </row>
    <row r="59" spans="1:7" ht="3" customHeight="1">
      <c r="F59" s="708"/>
    </row>
    <row r="60" spans="1:7" ht="12" customHeight="1">
      <c r="A60" s="699">
        <v>20</v>
      </c>
      <c r="C60" s="699" t="s">
        <v>2888</v>
      </c>
      <c r="F60" s="1106">
        <f>'Subsidy Layering Memo'!$L$70</f>
        <v>3652057.4464392178</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6411</v>
      </c>
    </row>
    <row r="64" spans="1:7" ht="12" customHeight="1">
      <c r="E64" s="1107" t="s">
        <v>3228</v>
      </c>
      <c r="F64" s="1108" t="s">
        <v>3229</v>
      </c>
      <c r="G64" s="1107" t="s">
        <v>6412</v>
      </c>
    </row>
    <row r="65" spans="1:7" ht="12" customHeight="1">
      <c r="E65" s="1107" t="s">
        <v>3228</v>
      </c>
      <c r="F65" s="1108" t="s">
        <v>3229</v>
      </c>
      <c r="G65" s="1107" t="s">
        <v>6413</v>
      </c>
    </row>
    <row r="66" spans="1:7" ht="3" customHeight="1"/>
    <row r="67" spans="1:7" ht="12" customHeight="1">
      <c r="A67" s="699">
        <v>22</v>
      </c>
      <c r="C67" s="699" t="s">
        <v>2890</v>
      </c>
      <c r="E67" s="717" t="str">
        <f>'Sensitivity Analysis'!H9</f>
        <v>Hallmark Wagon Works,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387391</v>
      </c>
    </row>
    <row r="74" spans="1:7" ht="3" customHeight="1">
      <c r="F74" s="1109"/>
    </row>
    <row r="75" spans="1:7" ht="12" customHeight="1">
      <c r="A75" s="699">
        <v>26</v>
      </c>
      <c r="C75" s="699" t="s">
        <v>2895</v>
      </c>
      <c r="F75" s="1109">
        <f>'Part IV-A-Uses of Funds'!$G$132</f>
        <v>37380</v>
      </c>
    </row>
    <row r="76" spans="1:7" ht="3" customHeight="1">
      <c r="F76" s="1109"/>
    </row>
    <row r="77" spans="1:7" ht="12" customHeight="1">
      <c r="A77" s="699">
        <v>27</v>
      </c>
      <c r="C77" s="699" t="s">
        <v>2896</v>
      </c>
      <c r="F77" s="1110">
        <f>'Part IV-A-Uses of Funds'!$G$130</f>
        <v>111275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3080</v>
      </c>
      <c r="B1" s="4482"/>
      <c r="C1" s="4482"/>
      <c r="D1" s="4482"/>
      <c r="E1" s="4482"/>
      <c r="F1" s="4482"/>
      <c r="G1" s="4482"/>
      <c r="H1" s="4482"/>
      <c r="I1" s="4482"/>
      <c r="J1" s="4482"/>
    </row>
    <row r="2" spans="1:13" ht="15">
      <c r="A2" s="4482" t="str">
        <f>'Sensitivity Analysis'!E8&amp;"  "&amp;'Sensitivity Analysis'!C8</f>
        <v>2021-006  Wagon Works</v>
      </c>
      <c r="B2" s="4482"/>
      <c r="C2" s="4482"/>
      <c r="D2" s="4482"/>
      <c r="E2" s="4482"/>
      <c r="F2" s="4482"/>
      <c r="G2" s="4482"/>
      <c r="H2" s="4482"/>
      <c r="I2" s="4482"/>
      <c r="J2" s="4482"/>
    </row>
    <row r="3" spans="1:13" ht="6" customHeight="1">
      <c r="K3" s="4478" t="s">
        <v>3611</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Hallmark Wagon Works,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1"/>
      <c r="E13" s="4481"/>
      <c r="F13" s="4481"/>
      <c r="G13" s="4481"/>
      <c r="H13" s="4481"/>
      <c r="I13" s="4481"/>
      <c r="J13" s="4481"/>
    </row>
    <row r="14" spans="1:13" ht="3" customHeight="1">
      <c r="G14" s="636"/>
      <c r="H14" s="705"/>
      <c r="I14" s="705"/>
    </row>
    <row r="15" spans="1:13" ht="12" customHeight="1">
      <c r="A15" s="699" t="s">
        <v>2904</v>
      </c>
      <c r="C15" s="707" t="str">
        <f>'Preview term'!E10</f>
        <v>Martin H. Petersen</v>
      </c>
      <c r="G15" s="636"/>
      <c r="I15" s="705"/>
    </row>
    <row r="16" spans="1:13" ht="12" customHeight="1">
      <c r="A16" s="717" t="s">
        <v>3815</v>
      </c>
      <c r="C16" s="707" t="str">
        <f>'Part II-Development Team'!Q7</f>
        <v>Manager of the GP</v>
      </c>
      <c r="G16" s="636"/>
      <c r="I16" s="705"/>
    </row>
    <row r="17" spans="1:9" ht="3" customHeight="1">
      <c r="G17" s="636"/>
      <c r="H17" s="705"/>
      <c r="I17" s="705"/>
    </row>
    <row r="18" spans="1:9" ht="12" customHeight="1">
      <c r="A18" s="699" t="s">
        <v>2905</v>
      </c>
      <c r="C18" s="707" t="str">
        <f>'Preview term'!$E$7</f>
        <v>3111 Paces Mill Road, Suite A-250</v>
      </c>
      <c r="G18" s="636"/>
      <c r="I18" s="705"/>
    </row>
    <row r="19" spans="1:9" ht="12" customHeight="1">
      <c r="C19" s="707" t="str">
        <f>'Preview term'!$E$8</f>
        <v>Atlanta, GA 30339</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7709842100</v>
      </c>
      <c r="G23" s="636"/>
      <c r="I23" s="705"/>
    </row>
    <row r="24" spans="1:9" ht="3" customHeight="1">
      <c r="C24" s="707"/>
      <c r="G24" s="636"/>
      <c r="I24" s="705"/>
    </row>
    <row r="25" spans="1:9" ht="12" customHeight="1">
      <c r="A25" s="699" t="s">
        <v>2908</v>
      </c>
      <c r="C25" s="1057" t="str">
        <f>'Preview term'!E11</f>
        <v>ppetersen@hallmarkco.com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Wagon Works</v>
      </c>
      <c r="I28" s="705"/>
    </row>
    <row r="29" spans="1:9" ht="3" customHeight="1">
      <c r="C29" s="707"/>
      <c r="I29" s="705"/>
    </row>
    <row r="30" spans="1:9" ht="12" customHeight="1">
      <c r="A30" s="699" t="s">
        <v>2911</v>
      </c>
      <c r="C30" s="707" t="str">
        <f>'Preview term'!E16</f>
        <v>1514 E. Cleveland Avenue</v>
      </c>
      <c r="I30" s="705"/>
    </row>
    <row r="31" spans="1:9">
      <c r="C31" s="705" t="str">
        <f>'Preview term'!E17</f>
        <v>East Point, GA 30344</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83" t="str">
        <f>_xlfn.CONCAT('Part VIII-Threshold Criteria'!K224," and ",'Part VIII-Threshold Criteria'!K225)</f>
        <v>Room and Gazebo</v>
      </c>
      <c r="D39" s="4483"/>
      <c r="E39" s="4483"/>
      <c r="F39" s="4483"/>
      <c r="G39" s="4483"/>
      <c r="H39" s="4483"/>
      <c r="I39" s="4483"/>
      <c r="J39" s="4483"/>
    </row>
    <row r="40" spans="1:10" ht="25.5" customHeight="1">
      <c r="A40" s="712" t="s">
        <v>6415</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 ,   , ,   , and  </v>
      </c>
      <c r="D40" s="4483"/>
      <c r="E40" s="4483"/>
      <c r="F40" s="4483"/>
      <c r="G40" s="4483"/>
      <c r="H40" s="4483"/>
      <c r="I40" s="4483"/>
      <c r="J40" s="4483"/>
    </row>
    <row r="41" spans="1:10" ht="3" customHeight="1">
      <c r="G41" s="636"/>
      <c r="H41" s="636"/>
      <c r="I41" s="636"/>
    </row>
    <row r="42" spans="1:10" ht="25.5" customHeight="1">
      <c r="A42" s="712" t="s">
        <v>2918</v>
      </c>
      <c r="C42" s="4484" t="s">
        <v>3230</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2919</v>
      </c>
      <c r="C44" s="574" t="str">
        <f>'Part I-Project Information'!J40</f>
        <v>Fulton</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2923</v>
      </c>
      <c r="B53" s="712"/>
      <c r="C53" s="716" t="s">
        <v>2924</v>
      </c>
      <c r="D53" s="716" t="s">
        <v>3231</v>
      </c>
      <c r="E53" s="4488"/>
      <c r="F53" s="4488"/>
      <c r="G53" s="4488"/>
      <c r="H53" s="4488"/>
      <c r="I53" s="4488"/>
      <c r="J53" s="4488"/>
    </row>
    <row r="54" spans="1:10" ht="12" customHeight="1">
      <c r="A54" s="712"/>
      <c r="B54" s="712"/>
      <c r="C54" s="712"/>
      <c r="D54" s="716" t="s">
        <v>3232</v>
      </c>
      <c r="E54" s="4489"/>
      <c r="F54" s="4489"/>
      <c r="G54" s="4489"/>
      <c r="H54" s="4489"/>
      <c r="I54" s="4489"/>
      <c r="J54" s="4489"/>
    </row>
    <row r="55" spans="1:10" ht="12" customHeight="1">
      <c r="A55" s="704" t="s">
        <v>2925</v>
      </c>
      <c r="G55" s="636"/>
      <c r="H55" s="636"/>
      <c r="I55" s="636"/>
    </row>
    <row r="56" spans="1:10" ht="18" customHeight="1">
      <c r="A56" s="699" t="s">
        <v>2926</v>
      </c>
      <c r="C56" s="706" t="str">
        <f>'Sensitivity Analysis'!C10</f>
        <v>Hallmark Wagon Works GP,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12500000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1"/>
      <c r="E69" s="4481"/>
      <c r="F69" s="4481"/>
      <c r="G69" s="4481"/>
      <c r="H69" s="4481"/>
      <c r="I69" s="4481"/>
      <c r="J69" s="4481"/>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204</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f>'Subsidy Layering Memo'!L70</f>
        <v>3652057.4464392178</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Cadence Bank</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3092</v>
      </c>
      <c r="D97" s="636" t="s">
        <v>2951</v>
      </c>
      <c r="E97" s="717" t="str">
        <f>'Part III-Sources of Funds'!E40</f>
        <v>Cadence Bank</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2952</v>
      </c>
      <c r="D102" s="1096" t="str">
        <f>'Part IX Scoring Criteria'!O260</f>
        <v>N/a</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2"/>
      <c r="E107" s="4492"/>
      <c r="F107" s="4492"/>
      <c r="G107" s="4492"/>
      <c r="H107" s="4492"/>
      <c r="I107" s="4492"/>
      <c r="J107" s="4493"/>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0" t="s">
        <v>6419</v>
      </c>
      <c r="F120" s="4480"/>
      <c r="G120" s="4480"/>
      <c r="H120" s="4480"/>
      <c r="I120" s="4480"/>
      <c r="J120" s="4480"/>
    </row>
    <row r="121" spans="1:10" ht="12" customHeight="1">
      <c r="C121" s="636" t="s">
        <v>2962</v>
      </c>
      <c r="D121" s="1065"/>
      <c r="E121" s="4480"/>
      <c r="F121" s="4480"/>
      <c r="G121" s="4480"/>
      <c r="H121" s="4480"/>
      <c r="I121" s="4480"/>
      <c r="J121" s="4480"/>
    </row>
    <row r="122" spans="1:10" ht="12" customHeight="1">
      <c r="C122" s="636" t="s">
        <v>2963</v>
      </c>
      <c r="D122" s="1065"/>
      <c r="E122" s="4480"/>
      <c r="F122" s="4480"/>
      <c r="G122" s="4480"/>
      <c r="H122" s="4480"/>
      <c r="I122" s="4480"/>
      <c r="J122" s="4480"/>
    </row>
    <row r="123" spans="1:10" ht="12" customHeight="1">
      <c r="C123" s="636" t="s">
        <v>2963</v>
      </c>
      <c r="D123" s="1065"/>
      <c r="E123" s="4480"/>
      <c r="F123" s="4480"/>
      <c r="G123" s="4480"/>
      <c r="H123" s="4480"/>
      <c r="I123" s="4480"/>
      <c r="J123" s="448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Hallmark Development Partners,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735110</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 xml:space="preserve">Hallmark Management, Inc. </v>
      </c>
      <c r="G139" s="636"/>
      <c r="I139" s="636"/>
      <c r="J139" s="734"/>
    </row>
    <row r="140" spans="1:10" ht="3" customHeight="1">
      <c r="C140" s="706"/>
      <c r="G140" s="636"/>
      <c r="I140" s="636"/>
    </row>
    <row r="141" spans="1:10" ht="12" customHeight="1">
      <c r="A141" s="699" t="s">
        <v>2974</v>
      </c>
      <c r="C141" s="707" t="str">
        <f>C8</f>
        <v>Hallmark Wagon Works, LP</v>
      </c>
      <c r="G141" s="636"/>
      <c r="I141" s="705"/>
      <c r="J141" s="735"/>
    </row>
    <row r="142" spans="1:10" ht="3" customHeight="1">
      <c r="C142" s="707"/>
      <c r="G142" s="636"/>
      <c r="I142" s="705"/>
      <c r="J142" s="735"/>
    </row>
    <row r="143" spans="1:10" ht="12" customHeight="1">
      <c r="A143" s="699" t="s">
        <v>2975</v>
      </c>
      <c r="C143" s="707" t="str">
        <f>C18</f>
        <v>3111 Paces Mill Road, Suite A-250</v>
      </c>
      <c r="G143" s="636"/>
      <c r="I143" s="705"/>
      <c r="J143" s="735"/>
    </row>
    <row r="144" spans="1:10">
      <c r="C144" s="707" t="str">
        <f>C19</f>
        <v>Atlanta, GA 30339</v>
      </c>
      <c r="G144" s="636"/>
      <c r="I144" s="705"/>
      <c r="J144" s="735"/>
    </row>
    <row r="145" spans="1:10" ht="3" customHeight="1">
      <c r="C145" s="736"/>
      <c r="G145" s="636"/>
      <c r="I145" s="705"/>
      <c r="J145" s="735"/>
    </row>
    <row r="146" spans="1:10" ht="12" customHeight="1">
      <c r="A146" s="699" t="s">
        <v>2976</v>
      </c>
      <c r="C146" s="707" t="str">
        <f>'Sensitivity Analysis'!H10</f>
        <v>Boston Financial Investment Management, LP</v>
      </c>
      <c r="G146" s="636"/>
      <c r="I146" s="705"/>
      <c r="J146" s="734"/>
    </row>
    <row r="147" spans="1:10" ht="3" customHeight="1">
      <c r="C147" s="707"/>
      <c r="G147" s="636"/>
      <c r="I147" s="705"/>
      <c r="J147" s="735"/>
    </row>
    <row r="148" spans="1:10" ht="12" customHeight="1">
      <c r="A148" s="699" t="s">
        <v>2977</v>
      </c>
      <c r="C148" s="707" t="str">
        <f>'Sensitivity Analysis'!K10</f>
        <v>Boston Financial Investment Management, LP</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81"/>
      <c r="F166" s="4481"/>
      <c r="G166" s="4481"/>
      <c r="I166" s="636"/>
    </row>
    <row r="167" spans="1:13" ht="3" customHeight="1">
      <c r="E167" s="636"/>
      <c r="G167" s="636"/>
      <c r="I167" s="636"/>
    </row>
    <row r="168" spans="1:13" ht="12" customHeight="1">
      <c r="A168" s="699" t="s">
        <v>2986</v>
      </c>
      <c r="C168" s="699" t="s">
        <v>2987</v>
      </c>
      <c r="E168" s="738">
        <f>'Preview term'!F73</f>
        <v>387391</v>
      </c>
      <c r="G168" s="636"/>
      <c r="I168" s="636"/>
    </row>
    <row r="169" spans="1:13" ht="12" customHeight="1">
      <c r="C169" s="699" t="s">
        <v>3237</v>
      </c>
      <c r="E169" s="4481"/>
      <c r="F169" s="4481"/>
      <c r="G169" s="4481"/>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37380</v>
      </c>
      <c r="G172" s="636"/>
      <c r="I172" s="636"/>
    </row>
    <row r="173" spans="1:13" ht="12" customHeight="1">
      <c r="C173" s="699" t="s">
        <v>2989</v>
      </c>
      <c r="E173" s="738">
        <f>'Preview term'!F75</f>
        <v>37380</v>
      </c>
      <c r="G173" s="636"/>
      <c r="I173" s="705"/>
      <c r="J173" s="735"/>
      <c r="K173" s="735"/>
      <c r="L173" s="735"/>
      <c r="M173" s="735"/>
    </row>
    <row r="174" spans="1:13" ht="12" customHeight="1">
      <c r="C174" s="699" t="s">
        <v>2990</v>
      </c>
      <c r="E174" s="733">
        <f>'Part VI-Revenues &amp; Expenses'!Q231</f>
        <v>37380</v>
      </c>
      <c r="F174" s="705" t="s">
        <v>2991</v>
      </c>
      <c r="J174" s="735"/>
      <c r="K174" s="735"/>
      <c r="L174" s="735"/>
      <c r="M174" s="735"/>
    </row>
    <row r="175" spans="1:13">
      <c r="E175" s="738">
        <f>E174/12</f>
        <v>3115</v>
      </c>
      <c r="F175" s="636" t="s">
        <v>2856</v>
      </c>
    </row>
    <row r="176" spans="1:13" ht="12" customHeight="1">
      <c r="C176" s="699" t="s">
        <v>3238</v>
      </c>
      <c r="E176" s="4481"/>
      <c r="F176" s="4481"/>
      <c r="G176" s="4481"/>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1"/>
      <c r="G181" s="4481"/>
      <c r="H181" s="4481"/>
      <c r="I181" s="4481"/>
      <c r="J181" s="4481"/>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111275</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479">
        <f>'Part VIII-Threshold Criteria'!E397</f>
        <v>0</v>
      </c>
      <c r="G199" s="4479"/>
      <c r="H199" s="4479"/>
      <c r="I199" s="4479"/>
      <c r="J199" s="4479"/>
    </row>
    <row r="200" spans="1:10" ht="9" customHeight="1">
      <c r="G200" s="636"/>
      <c r="H200" s="636"/>
      <c r="I200" s="636"/>
    </row>
    <row r="201" spans="1:10" ht="12" customHeight="1">
      <c r="A201" s="740" t="s">
        <v>3081</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6403</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6406</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140625" style="3024" customWidth="1"/>
    <col min="3" max="3" width="9.85546875" style="3024" customWidth="1"/>
    <col min="4" max="4" width="10.42578125" style="3024" customWidth="1"/>
    <col min="5" max="5" width="7.85546875" style="3120" customWidth="1"/>
    <col min="6" max="6" width="8" style="3024" customWidth="1"/>
    <col min="7" max="7" width="8.85546875" style="3024" customWidth="1"/>
    <col min="8" max="8" width="10.140625" style="3024" customWidth="1"/>
    <col min="9" max="9" width="10.85546875" style="3024" customWidth="1"/>
    <col min="10"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53" t="str">
        <f>'Part I-Project Information'!F35</f>
        <v>Wagon Works</v>
      </c>
      <c r="E3" s="4554"/>
      <c r="F3" s="4554"/>
      <c r="G3" s="4554"/>
      <c r="H3" s="4554"/>
      <c r="I3" s="4554"/>
      <c r="J3" s="4555" t="s">
        <v>6420</v>
      </c>
      <c r="K3" s="4556"/>
    </row>
    <row r="4" spans="1:11" ht="15" customHeight="1">
      <c r="A4" s="3028" t="s">
        <v>4170</v>
      </c>
      <c r="B4" s="3029"/>
      <c r="C4" s="3030"/>
      <c r="D4" s="4557" t="str">
        <f>CONCATENATE('Part I-Project Information'!F36,", ",'Part I-Project Information'!F39,", GA ",'Part I-Project Information'!J39," (",'Part I-Project Information'!J40," Co.)",)</f>
        <v>1514 E. Cleveland Avenue, East Point, GA 303446965 (Fulton Co.)</v>
      </c>
      <c r="E4" s="4558"/>
      <c r="F4" s="4558"/>
      <c r="G4" s="4558"/>
      <c r="H4" s="4558"/>
      <c r="I4" s="4558"/>
      <c r="J4" s="4559" t="s">
        <v>4211</v>
      </c>
      <c r="K4" s="4560"/>
    </row>
    <row r="5" spans="1:11" ht="15" customHeight="1" thickBot="1">
      <c r="A5" s="3031" t="s">
        <v>4171</v>
      </c>
      <c r="B5" s="3032"/>
      <c r="C5" s="3033"/>
      <c r="D5" s="4563"/>
      <c r="E5" s="4564"/>
      <c r="F5" s="4564"/>
      <c r="G5" s="4564"/>
      <c r="H5" s="4564"/>
      <c r="I5" s="4564"/>
      <c r="J5" s="4561"/>
      <c r="K5" s="4562"/>
    </row>
    <row r="6" spans="1:11" ht="9" customHeight="1" thickBot="1">
      <c r="E6" s="3024"/>
    </row>
    <row r="7" spans="1:11">
      <c r="A7" s="4571" t="s">
        <v>4173</v>
      </c>
      <c r="B7" s="4572"/>
      <c r="C7" s="4572"/>
      <c r="D7" s="4572"/>
      <c r="E7" s="4572"/>
      <c r="F7" s="4572"/>
      <c r="G7" s="4572"/>
      <c r="H7" s="4572"/>
      <c r="I7" s="4572"/>
      <c r="J7" s="4572"/>
      <c r="K7" s="4573"/>
    </row>
    <row r="8" spans="1:11" ht="14.25" customHeight="1">
      <c r="A8" s="3034"/>
      <c r="B8" s="3034"/>
      <c r="C8" s="3035">
        <v>1</v>
      </c>
      <c r="D8" s="3036" t="s">
        <v>4174</v>
      </c>
      <c r="E8" s="3036"/>
      <c r="F8" s="3036"/>
      <c r="G8" s="3036"/>
      <c r="H8" s="3036"/>
      <c r="I8" s="3036"/>
      <c r="J8" s="4569"/>
      <c r="K8" s="4570"/>
    </row>
    <row r="9" spans="1:11" ht="7.35" customHeight="1">
      <c r="A9" s="4504"/>
      <c r="B9" s="4504"/>
      <c r="C9" s="4504"/>
      <c r="D9" s="4505"/>
      <c r="E9" s="4505"/>
      <c r="F9" s="4505"/>
      <c r="G9" s="4505"/>
      <c r="H9" s="4505"/>
      <c r="I9" s="4505"/>
      <c r="J9" s="4505"/>
      <c r="K9" s="3037"/>
    </row>
    <row r="10" spans="1:11">
      <c r="A10" s="4574" t="s">
        <v>4175</v>
      </c>
      <c r="B10" s="4575"/>
      <c r="C10" s="4575"/>
      <c r="D10" s="4575"/>
      <c r="E10" s="4575"/>
      <c r="F10" s="4575"/>
      <c r="G10" s="4575"/>
      <c r="H10" s="4575"/>
      <c r="I10" s="4575"/>
      <c r="J10" s="4575"/>
      <c r="K10" s="4576"/>
    </row>
    <row r="11" spans="1:11" ht="14.25" customHeight="1">
      <c r="A11" s="3034"/>
      <c r="B11" s="3034"/>
      <c r="C11" s="3035">
        <v>2</v>
      </c>
      <c r="D11" s="3036" t="s">
        <v>4176</v>
      </c>
      <c r="E11" s="3038"/>
      <c r="F11" s="3038"/>
      <c r="G11" s="3038"/>
      <c r="H11" s="3038"/>
      <c r="I11" s="3038"/>
      <c r="J11" s="4567"/>
      <c r="K11" s="4568"/>
    </row>
    <row r="12" spans="1:11" ht="7.35" customHeight="1">
      <c r="A12" s="4504"/>
      <c r="B12" s="4504"/>
      <c r="C12" s="4504"/>
      <c r="D12" s="4505"/>
      <c r="E12" s="4505"/>
      <c r="F12" s="4505"/>
      <c r="G12" s="4505"/>
      <c r="H12" s="4505"/>
      <c r="I12" s="4505"/>
      <c r="J12" s="4505"/>
      <c r="K12" s="3039"/>
    </row>
    <row r="13" spans="1:11">
      <c r="A13" s="4574" t="s">
        <v>4177</v>
      </c>
      <c r="B13" s="4575"/>
      <c r="C13" s="4575"/>
      <c r="D13" s="4575"/>
      <c r="E13" s="4575"/>
      <c r="F13" s="4575"/>
      <c r="G13" s="4575"/>
      <c r="H13" s="4575"/>
      <c r="I13" s="4575"/>
      <c r="J13" s="4575"/>
      <c r="K13" s="4576"/>
    </row>
    <row r="14" spans="1:11" ht="14.25" customHeight="1">
      <c r="A14" s="3029"/>
      <c r="B14" s="3029"/>
      <c r="C14" s="3040">
        <v>3</v>
      </c>
      <c r="D14" s="3041" t="s">
        <v>4178</v>
      </c>
      <c r="E14" s="3041"/>
      <c r="F14" s="3041"/>
      <c r="G14" s="3041"/>
      <c r="H14" s="3041"/>
      <c r="I14" s="3041"/>
      <c r="J14" s="4565"/>
      <c r="K14" s="4566"/>
    </row>
    <row r="15" spans="1:11" ht="14.25" customHeight="1">
      <c r="A15" s="3029"/>
      <c r="B15" s="3029"/>
      <c r="C15" s="3042">
        <v>4</v>
      </c>
      <c r="D15" s="3029" t="s">
        <v>4179</v>
      </c>
      <c r="E15" s="3029"/>
      <c r="F15" s="3029"/>
      <c r="G15" s="3029"/>
      <c r="H15" s="3029"/>
      <c r="I15" s="3029"/>
      <c r="J15" s="4502"/>
      <c r="K15" s="4503"/>
    </row>
    <row r="16" spans="1:11" ht="14.25" customHeight="1">
      <c r="A16" s="3029"/>
      <c r="B16" s="3029"/>
      <c r="C16" s="3042">
        <v>5</v>
      </c>
      <c r="D16" s="3029" t="s">
        <v>4180</v>
      </c>
      <c r="E16" s="3029"/>
      <c r="F16" s="3029"/>
      <c r="G16" s="3029"/>
      <c r="H16" s="3029"/>
      <c r="I16" s="3029"/>
      <c r="J16" s="4502"/>
      <c r="K16" s="4503"/>
    </row>
    <row r="17" spans="1:13" ht="14.25" customHeight="1">
      <c r="A17" s="3034"/>
      <c r="B17" s="3034"/>
      <c r="C17" s="3043">
        <v>6</v>
      </c>
      <c r="D17" s="3032" t="s">
        <v>4181</v>
      </c>
      <c r="E17" s="3032"/>
      <c r="F17" s="3032"/>
      <c r="G17" s="3032"/>
      <c r="H17" s="3032"/>
      <c r="I17" s="3032"/>
      <c r="J17" s="4500"/>
      <c r="K17" s="4501"/>
    </row>
    <row r="18" spans="1:13" ht="7.35" customHeight="1">
      <c r="A18" s="4504"/>
      <c r="B18" s="4504"/>
      <c r="C18" s="4504"/>
      <c r="D18" s="4505"/>
      <c r="E18" s="4505"/>
      <c r="F18" s="4505"/>
      <c r="G18" s="4505"/>
      <c r="H18" s="4505"/>
      <c r="I18" s="4505"/>
      <c r="J18" s="4505"/>
      <c r="K18" s="3039"/>
    </row>
    <row r="19" spans="1:13" ht="14.25" customHeight="1">
      <c r="A19" s="3029"/>
      <c r="B19" s="3029"/>
      <c r="C19" s="3040">
        <v>7</v>
      </c>
      <c r="D19" s="3041" t="s">
        <v>4182</v>
      </c>
      <c r="E19" s="3041"/>
      <c r="F19" s="3041"/>
      <c r="G19" s="3041"/>
      <c r="H19" s="3041"/>
      <c r="I19" s="3041"/>
      <c r="J19" s="4498" t="str">
        <f>IF(J17="No",J14-J15,IF(J17="Yes",J14-J15-J16,"Error"))</f>
        <v>Error</v>
      </c>
      <c r="K19" s="4499"/>
    </row>
    <row r="20" spans="1:13" ht="14.25" customHeight="1">
      <c r="A20" s="3034"/>
      <c r="B20" s="3034"/>
      <c r="C20" s="3043">
        <v>8</v>
      </c>
      <c r="D20" s="3032" t="s">
        <v>4183</v>
      </c>
      <c r="E20" s="3032"/>
      <c r="F20" s="3032"/>
      <c r="G20" s="3032"/>
      <c r="H20" s="3032"/>
      <c r="I20" s="3032"/>
      <c r="J20" s="4496" t="e">
        <f>ROUNDDOWN(J19/J8,2)</f>
        <v>#VALUE!</v>
      </c>
      <c r="K20" s="4497"/>
    </row>
    <row r="21" spans="1:13" ht="7.35" customHeight="1">
      <c r="A21" s="4504"/>
      <c r="B21" s="4504"/>
      <c r="C21" s="4504"/>
      <c r="D21" s="4505"/>
      <c r="E21" s="4505"/>
      <c r="F21" s="4505"/>
      <c r="G21" s="4505"/>
      <c r="H21" s="4505"/>
      <c r="I21" s="4505"/>
      <c r="J21" s="4505"/>
      <c r="K21" s="3039"/>
    </row>
    <row r="22" spans="1:13" ht="14.25" customHeight="1" thickBot="1">
      <c r="A22" s="3029"/>
      <c r="B22" s="3029"/>
      <c r="C22" s="3035">
        <v>9</v>
      </c>
      <c r="D22" s="3044" t="s">
        <v>4184</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4215</v>
      </c>
      <c r="B30" s="4542"/>
      <c r="C30" s="4542"/>
      <c r="D30" s="4542"/>
      <c r="E30" s="4542"/>
      <c r="F30" s="4542"/>
      <c r="G30" s="4542"/>
      <c r="H30" s="4542"/>
      <c r="I30" s="4542"/>
      <c r="J30" s="4542"/>
      <c r="K30" s="4543"/>
    </row>
    <row r="31" spans="1:13">
      <c r="A31" s="3050"/>
      <c r="B31" s="4544" t="s">
        <v>6420</v>
      </c>
      <c r="C31" s="4544"/>
      <c r="D31" s="4544"/>
      <c r="E31" s="4544"/>
      <c r="F31" s="4544"/>
      <c r="G31" s="4545" t="s">
        <v>4186</v>
      </c>
      <c r="H31" s="4546"/>
      <c r="I31" s="4546"/>
      <c r="J31" s="4546"/>
      <c r="K31" s="4547"/>
    </row>
    <row r="32" spans="1:13" ht="56.25" customHeight="1">
      <c r="A32" s="3051"/>
      <c r="B32" s="3052" t="s">
        <v>4214</v>
      </c>
      <c r="C32" s="3053" t="s">
        <v>4210</v>
      </c>
      <c r="D32" s="3053" t="s">
        <v>4209</v>
      </c>
      <c r="E32" s="4548" t="s">
        <v>6312</v>
      </c>
      <c r="F32" s="4549"/>
      <c r="G32" s="3054" t="s">
        <v>4187</v>
      </c>
      <c r="H32" s="3054" t="s">
        <v>4188</v>
      </c>
      <c r="J32" s="3054" t="s">
        <v>4189</v>
      </c>
      <c r="K32" s="3054" t="s">
        <v>4190</v>
      </c>
      <c r="L32" s="4550" t="s">
        <v>4191</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4192</v>
      </c>
      <c r="H52" s="3077" t="e">
        <f>SUM(H33:H51)</f>
        <v>#VALUE!</v>
      </c>
      <c r="I52" s="3041"/>
      <c r="J52" s="3075" t="s">
        <v>4193</v>
      </c>
      <c r="K52" s="3078" t="e">
        <f>SUM(K33:K51)</f>
        <v>#VALUE!</v>
      </c>
      <c r="L52" s="4550"/>
      <c r="M52" s="4550"/>
    </row>
    <row r="53" spans="1:13" ht="15" customHeight="1">
      <c r="A53" s="3050"/>
      <c r="B53" s="3079"/>
      <c r="C53" s="4536" t="s">
        <v>4194</v>
      </c>
      <c r="D53" s="4536"/>
      <c r="E53" s="4536"/>
      <c r="F53" s="4536"/>
      <c r="G53" s="4536"/>
      <c r="H53" s="4536"/>
      <c r="I53" s="4536"/>
      <c r="J53" s="4537"/>
      <c r="K53" s="3080" t="str">
        <f>IF(J17="no",0,IF(J17="yes",J16,"Error"))</f>
        <v>Error</v>
      </c>
      <c r="L53" s="4550"/>
      <c r="M53" s="4550"/>
    </row>
    <row r="54" spans="1:13" ht="15" customHeight="1" thickBot="1">
      <c r="A54" s="3050"/>
      <c r="B54" s="3079"/>
      <c r="C54" s="4538" t="s">
        <v>4195</v>
      </c>
      <c r="D54" s="4538"/>
      <c r="E54" s="4538"/>
      <c r="F54" s="4538"/>
      <c r="G54" s="4538"/>
      <c r="H54" s="4538"/>
      <c r="I54" s="4538"/>
      <c r="J54" s="4539"/>
      <c r="K54" s="3081" t="e">
        <f>K52+K53</f>
        <v>#VALUE!</v>
      </c>
    </row>
    <row r="55" spans="1:13" ht="8.1" customHeight="1">
      <c r="A55" s="4540"/>
      <c r="B55" s="4506"/>
      <c r="C55" s="4506"/>
      <c r="D55" s="4506"/>
      <c r="E55" s="4506"/>
      <c r="F55" s="4506"/>
      <c r="G55" s="4506"/>
      <c r="H55" s="4506"/>
      <c r="I55" s="4506"/>
      <c r="J55" s="4506"/>
      <c r="K55" s="3082"/>
    </row>
    <row r="56" spans="1:13" ht="15" customHeight="1">
      <c r="A56" s="4507" t="s">
        <v>4196</v>
      </c>
      <c r="B56" s="4508"/>
      <c r="C56" s="4508"/>
      <c r="D56" s="4508"/>
      <c r="E56" s="4508"/>
      <c r="F56" s="4508"/>
      <c r="G56" s="4508"/>
      <c r="H56" s="4508"/>
      <c r="I56" s="4508"/>
      <c r="J56" s="4508"/>
      <c r="K56" s="4509"/>
    </row>
    <row r="57" spans="1:13" ht="48" customHeight="1">
      <c r="A57" s="3083"/>
      <c r="B57" s="3084"/>
      <c r="C57" s="3085" t="s">
        <v>4197</v>
      </c>
      <c r="D57" s="3086" t="s">
        <v>6272</v>
      </c>
      <c r="E57" s="4521" t="s">
        <v>4213</v>
      </c>
      <c r="F57" s="4522"/>
      <c r="G57" s="4523" t="s">
        <v>4198</v>
      </c>
      <c r="H57" s="4524"/>
      <c r="I57" s="4521" t="s">
        <v>4212</v>
      </c>
      <c r="J57" s="4522"/>
      <c r="K57" s="4525"/>
    </row>
    <row r="58" spans="1:13" ht="15" customHeight="1">
      <c r="A58" s="3087"/>
      <c r="B58" s="3088"/>
      <c r="C58" s="3089">
        <f>SUMIF(C33:C51, "0", H33:H51)</f>
        <v>0</v>
      </c>
      <c r="D58" s="3090">
        <f t="shared" ref="D58:D63" si="4">ROUNDUP(C58*1.1,0)</f>
        <v>0</v>
      </c>
      <c r="E58" s="4527" t="s">
        <v>4199</v>
      </c>
      <c r="F58" s="4528"/>
      <c r="G58" s="4529">
        <v>153314.4</v>
      </c>
      <c r="H58" s="4530"/>
      <c r="I58" s="4531">
        <f t="shared" ref="I58:I63" si="5">D58*G58</f>
        <v>0</v>
      </c>
      <c r="J58" s="4531"/>
      <c r="K58" s="4526"/>
    </row>
    <row r="59" spans="1:13">
      <c r="A59" s="3087"/>
      <c r="B59" s="3088"/>
      <c r="C59" s="3091">
        <f>SUMIF(C33:C51, "1", H33:H51)</f>
        <v>0</v>
      </c>
      <c r="D59" s="3092">
        <f t="shared" si="4"/>
        <v>0</v>
      </c>
      <c r="E59" s="4511" t="s">
        <v>2559</v>
      </c>
      <c r="F59" s="4512"/>
      <c r="G59" s="4513">
        <v>175752</v>
      </c>
      <c r="H59" s="4514"/>
      <c r="I59" s="4515">
        <f t="shared" si="5"/>
        <v>0</v>
      </c>
      <c r="J59" s="4515"/>
      <c r="K59" s="4526"/>
    </row>
    <row r="60" spans="1:13" ht="15" customHeight="1">
      <c r="A60" s="3087"/>
      <c r="B60" s="3088"/>
      <c r="C60" s="3091">
        <f>SUMIF(C33:C51, "2", H33:H51)</f>
        <v>0</v>
      </c>
      <c r="D60" s="3092">
        <f t="shared" si="4"/>
        <v>0</v>
      </c>
      <c r="E60" s="4511" t="s">
        <v>2560</v>
      </c>
      <c r="F60" s="4512"/>
      <c r="G60" s="4513">
        <v>213717.6</v>
      </c>
      <c r="H60" s="4514"/>
      <c r="I60" s="4515">
        <f t="shared" si="5"/>
        <v>0</v>
      </c>
      <c r="J60" s="4515"/>
      <c r="K60" s="4526"/>
    </row>
    <row r="61" spans="1:13">
      <c r="A61" s="3087"/>
      <c r="B61" s="3088"/>
      <c r="C61" s="3091">
        <f>SUMIF(C33:C51, "3", H33:H51)</f>
        <v>0</v>
      </c>
      <c r="D61" s="3092">
        <f t="shared" si="4"/>
        <v>0</v>
      </c>
      <c r="E61" s="4511" t="s">
        <v>2563</v>
      </c>
      <c r="F61" s="4512"/>
      <c r="G61" s="4513">
        <v>276482.40000000002</v>
      </c>
      <c r="H61" s="4514"/>
      <c r="I61" s="4515">
        <f t="shared" si="5"/>
        <v>0</v>
      </c>
      <c r="J61" s="4515"/>
      <c r="K61" s="4526"/>
    </row>
    <row r="62" spans="1:13">
      <c r="A62" s="3087"/>
      <c r="B62" s="3088"/>
      <c r="C62" s="3091">
        <f>SUMIF(C33:C51, "4", H33:H51)</f>
        <v>0</v>
      </c>
      <c r="D62" s="3092">
        <f t="shared" si="4"/>
        <v>0</v>
      </c>
      <c r="E62" s="4511" t="s">
        <v>4200</v>
      </c>
      <c r="F62" s="4512"/>
      <c r="G62" s="4513">
        <v>303489.59999999998</v>
      </c>
      <c r="H62" s="4514"/>
      <c r="I62" s="4515">
        <f t="shared" si="5"/>
        <v>0</v>
      </c>
      <c r="J62" s="4515"/>
      <c r="K62" s="4526"/>
    </row>
    <row r="63" spans="1:13">
      <c r="A63" s="3093"/>
      <c r="B63" s="3094"/>
      <c r="C63" s="3095">
        <f>SUMIF(C33:C51, "5", H33:H51)</f>
        <v>0</v>
      </c>
      <c r="D63" s="3096">
        <f t="shared" si="4"/>
        <v>0</v>
      </c>
      <c r="E63" s="4516" t="s">
        <v>4201</v>
      </c>
      <c r="F63" s="4517"/>
      <c r="G63" s="4518">
        <v>303489.59999999998</v>
      </c>
      <c r="H63" s="4519"/>
      <c r="I63" s="4520">
        <f t="shared" si="5"/>
        <v>0</v>
      </c>
      <c r="J63" s="4520"/>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06"/>
      <c r="B65" s="4506"/>
      <c r="C65" s="4506"/>
      <c r="D65" s="4506"/>
      <c r="E65" s="4506"/>
      <c r="F65" s="4506"/>
      <c r="G65" s="4506"/>
      <c r="H65" s="4506"/>
      <c r="I65" s="4506"/>
      <c r="J65" s="4506"/>
    </row>
    <row r="66" spans="1:11">
      <c r="A66" s="4507" t="s">
        <v>4204</v>
      </c>
      <c r="B66" s="4508"/>
      <c r="C66" s="4508"/>
      <c r="D66" s="4508"/>
      <c r="E66" s="4508"/>
      <c r="F66" s="4508"/>
      <c r="G66" s="4508"/>
      <c r="H66" s="4508"/>
      <c r="I66" s="4508"/>
      <c r="J66" s="4508"/>
      <c r="K66" s="4509"/>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10" t="s">
        <v>4208</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mS/aK34B3LIwFNkDvp3L4BAmx2v8oMYrZBY3k5oVpnbEGEoDZXTqaVa6dWH03EI+kX8JM/7R9jsWANUSRxJP2Q==" saltValue="v11MBQ0D5uL426k4xsu7J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140625" style="1410" customWidth="1"/>
    <col min="3" max="3" width="9.85546875" style="1410" customWidth="1"/>
    <col min="4" max="4" width="10.42578125" style="1410" customWidth="1"/>
    <col min="5" max="5" width="7.85546875" style="1414" customWidth="1"/>
    <col min="6" max="6" width="8" style="1410" customWidth="1"/>
    <col min="7" max="7" width="8.85546875" style="1410" customWidth="1"/>
    <col min="8" max="8" width="10.140625" style="1410" customWidth="1"/>
    <col min="9" max="9" width="10.85546875" style="1410" customWidth="1"/>
    <col min="10" max="11" width="11.85546875" style="1410" customWidth="1"/>
    <col min="12" max="16384" width="9.140625" style="1410"/>
  </cols>
  <sheetData>
    <row r="1" spans="1:11" ht="18.75">
      <c r="A1" s="1460" t="s">
        <v>4167</v>
      </c>
      <c r="B1" s="1460"/>
      <c r="C1" s="1460"/>
      <c r="D1" s="1460"/>
      <c r="E1" s="1460"/>
      <c r="F1" s="1460"/>
      <c r="G1" s="1460"/>
      <c r="H1" s="1460"/>
    </row>
    <row r="2" spans="1:11" ht="19.5" thickBot="1">
      <c r="A2" s="1460" t="s">
        <v>4168</v>
      </c>
      <c r="B2" s="1460"/>
      <c r="C2" s="1460"/>
      <c r="D2" s="1460"/>
      <c r="E2" s="1460"/>
      <c r="F2" s="1460"/>
      <c r="G2" s="1460"/>
      <c r="H2" s="1460"/>
    </row>
    <row r="3" spans="1:11" ht="15" customHeight="1" thickBot="1">
      <c r="A3" s="1411" t="s">
        <v>4169</v>
      </c>
      <c r="B3" s="1412"/>
      <c r="C3" s="1413"/>
      <c r="D3" s="4648" t="str">
        <f>'Part I-Project Information'!F35</f>
        <v>Wagon Works</v>
      </c>
      <c r="E3" s="4649"/>
      <c r="F3" s="4649"/>
      <c r="G3" s="4649"/>
      <c r="H3" s="4649"/>
      <c r="I3" s="4649"/>
      <c r="J3" s="4654" t="s">
        <v>4172</v>
      </c>
      <c r="K3" s="4655"/>
    </row>
    <row r="4" spans="1:11" ht="15" customHeight="1">
      <c r="A4" s="1415" t="s">
        <v>4170</v>
      </c>
      <c r="B4" s="1416"/>
      <c r="C4" s="1417"/>
      <c r="D4" s="4650" t="str">
        <f>CONCATENATE('Part I-Project Information'!F36,", ",'Part I-Project Information'!F39,", GA ",'Part I-Project Information'!J39," (",'Part I-Project Information'!J40," Co.)",)</f>
        <v>1514 E. Cleveland Avenue, East Point, GA 303446965 (Fulton Co.)</v>
      </c>
      <c r="E4" s="4651"/>
      <c r="F4" s="4651"/>
      <c r="G4" s="4651"/>
      <c r="H4" s="4651"/>
      <c r="I4" s="4651"/>
      <c r="J4" s="4656" t="s">
        <v>4211</v>
      </c>
      <c r="K4" s="4657"/>
    </row>
    <row r="5" spans="1:11" ht="15" customHeight="1" thickBot="1">
      <c r="A5" s="1418" t="s">
        <v>4171</v>
      </c>
      <c r="B5" s="1419"/>
      <c r="C5" s="1420"/>
      <c r="D5" s="4652"/>
      <c r="E5" s="4653"/>
      <c r="F5" s="4653"/>
      <c r="G5" s="4653"/>
      <c r="H5" s="4653"/>
      <c r="I5" s="4653"/>
      <c r="J5" s="4658"/>
      <c r="K5" s="4659"/>
    </row>
    <row r="6" spans="1:11" ht="9" customHeight="1" thickBot="1">
      <c r="E6" s="1410"/>
    </row>
    <row r="7" spans="1:11">
      <c r="A7" s="4645" t="s">
        <v>4173</v>
      </c>
      <c r="B7" s="4646"/>
      <c r="C7" s="4646"/>
      <c r="D7" s="4646"/>
      <c r="E7" s="4646"/>
      <c r="F7" s="4646"/>
      <c r="G7" s="4646"/>
      <c r="H7" s="4646"/>
      <c r="I7" s="4646"/>
      <c r="J7" s="4646"/>
      <c r="K7" s="4647"/>
    </row>
    <row r="8" spans="1:11" ht="14.25" customHeight="1">
      <c r="A8" s="1436"/>
      <c r="B8" s="1436"/>
      <c r="C8" s="1450">
        <v>1</v>
      </c>
      <c r="D8" s="1437" t="s">
        <v>4174</v>
      </c>
      <c r="E8" s="1437"/>
      <c r="F8" s="1437"/>
      <c r="G8" s="1437"/>
      <c r="H8" s="1437"/>
      <c r="I8" s="1437"/>
      <c r="J8" s="4583"/>
      <c r="K8" s="4584"/>
    </row>
    <row r="9" spans="1:11" ht="7.35" customHeight="1">
      <c r="A9" s="4636"/>
      <c r="B9" s="4636"/>
      <c r="C9" s="4636"/>
      <c r="D9" s="4637"/>
      <c r="E9" s="4637"/>
      <c r="F9" s="4637"/>
      <c r="G9" s="4637"/>
      <c r="H9" s="4637"/>
      <c r="I9" s="4637"/>
      <c r="J9" s="4637"/>
      <c r="K9" s="1438"/>
    </row>
    <row r="10" spans="1:11">
      <c r="A10" s="4600" t="s">
        <v>4175</v>
      </c>
      <c r="B10" s="4601"/>
      <c r="C10" s="4601"/>
      <c r="D10" s="4601"/>
      <c r="E10" s="4601"/>
      <c r="F10" s="4601"/>
      <c r="G10" s="4601"/>
      <c r="H10" s="4601"/>
      <c r="I10" s="4601"/>
      <c r="J10" s="4601"/>
      <c r="K10" s="4602"/>
    </row>
    <row r="11" spans="1:11" ht="14.25" customHeight="1">
      <c r="A11" s="1436"/>
      <c r="B11" s="1436"/>
      <c r="C11" s="1450">
        <v>2</v>
      </c>
      <c r="D11" s="1437" t="s">
        <v>4176</v>
      </c>
      <c r="E11" s="1439"/>
      <c r="F11" s="1439"/>
      <c r="G11" s="1439"/>
      <c r="H11" s="1439"/>
      <c r="I11" s="1439"/>
      <c r="J11" s="4581"/>
      <c r="K11" s="4582"/>
    </row>
    <row r="12" spans="1:11" ht="7.35" customHeight="1">
      <c r="A12" s="4636"/>
      <c r="B12" s="4636"/>
      <c r="C12" s="4636"/>
      <c r="D12" s="4637"/>
      <c r="E12" s="4637"/>
      <c r="F12" s="4637"/>
      <c r="G12" s="4637"/>
      <c r="H12" s="4637"/>
      <c r="I12" s="4637"/>
      <c r="J12" s="4637"/>
      <c r="K12" s="1440"/>
    </row>
    <row r="13" spans="1:11">
      <c r="A13" s="4600" t="s">
        <v>4177</v>
      </c>
      <c r="B13" s="4601"/>
      <c r="C13" s="4601"/>
      <c r="D13" s="4601"/>
      <c r="E13" s="4601"/>
      <c r="F13" s="4601"/>
      <c r="G13" s="4601"/>
      <c r="H13" s="4601"/>
      <c r="I13" s="4601"/>
      <c r="J13" s="4601"/>
      <c r="K13" s="4602"/>
    </row>
    <row r="14" spans="1:11" ht="14.25" customHeight="1">
      <c r="A14" s="1416"/>
      <c r="B14" s="1416"/>
      <c r="C14" s="1451">
        <v>3</v>
      </c>
      <c r="D14" s="1441" t="s">
        <v>4178</v>
      </c>
      <c r="E14" s="1441"/>
      <c r="F14" s="1441"/>
      <c r="G14" s="1441"/>
      <c r="H14" s="1441"/>
      <c r="I14" s="1441"/>
      <c r="J14" s="4579"/>
      <c r="K14" s="4580"/>
    </row>
    <row r="15" spans="1:11" ht="14.25" customHeight="1">
      <c r="A15" s="1416"/>
      <c r="B15" s="1416"/>
      <c r="C15" s="1452">
        <v>4</v>
      </c>
      <c r="D15" s="1416" t="s">
        <v>4179</v>
      </c>
      <c r="E15" s="1416"/>
      <c r="F15" s="1416"/>
      <c r="G15" s="1416"/>
      <c r="H15" s="1416"/>
      <c r="I15" s="1416"/>
      <c r="J15" s="4577"/>
      <c r="K15" s="4578"/>
    </row>
    <row r="16" spans="1:11" ht="14.25" customHeight="1">
      <c r="A16" s="1416"/>
      <c r="B16" s="1416"/>
      <c r="C16" s="1452">
        <v>5</v>
      </c>
      <c r="D16" s="1416" t="s">
        <v>4180</v>
      </c>
      <c r="E16" s="1416"/>
      <c r="F16" s="1416"/>
      <c r="G16" s="1416"/>
      <c r="H16" s="1416"/>
      <c r="I16" s="1416"/>
      <c r="J16" s="4577"/>
      <c r="K16" s="4578"/>
    </row>
    <row r="17" spans="1:13" ht="14.25" customHeight="1">
      <c r="A17" s="1436"/>
      <c r="B17" s="1436"/>
      <c r="C17" s="1453">
        <v>6</v>
      </c>
      <c r="D17" s="1419" t="s">
        <v>4181</v>
      </c>
      <c r="E17" s="1419"/>
      <c r="F17" s="1419"/>
      <c r="G17" s="1419"/>
      <c r="H17" s="1419"/>
      <c r="I17" s="1419"/>
      <c r="J17" s="4591"/>
      <c r="K17" s="4592"/>
    </row>
    <row r="18" spans="1:13" ht="7.35" customHeight="1">
      <c r="A18" s="4636"/>
      <c r="B18" s="4636"/>
      <c r="C18" s="4636"/>
      <c r="D18" s="4637"/>
      <c r="E18" s="4637"/>
      <c r="F18" s="4637"/>
      <c r="G18" s="4637"/>
      <c r="H18" s="4637"/>
      <c r="I18" s="4637"/>
      <c r="J18" s="4637"/>
      <c r="K18" s="1440"/>
    </row>
    <row r="19" spans="1:13" ht="14.25" customHeight="1">
      <c r="A19" s="1416"/>
      <c r="B19" s="1416"/>
      <c r="C19" s="1451">
        <v>7</v>
      </c>
      <c r="D19" s="1441" t="s">
        <v>4182</v>
      </c>
      <c r="E19" s="1441"/>
      <c r="F19" s="1441"/>
      <c r="G19" s="1441"/>
      <c r="H19" s="1441"/>
      <c r="I19" s="1441"/>
      <c r="J19" s="4589" t="str">
        <f>IF(J17="No",J14-J15,IF(J17="Yes",J14-J15-J16,"Error"))</f>
        <v>Error</v>
      </c>
      <c r="K19" s="4590"/>
    </row>
    <row r="20" spans="1:13" ht="14.25" customHeight="1">
      <c r="A20" s="1436"/>
      <c r="B20" s="1436"/>
      <c r="C20" s="1453">
        <v>8</v>
      </c>
      <c r="D20" s="1419" t="s">
        <v>4183</v>
      </c>
      <c r="E20" s="1419"/>
      <c r="F20" s="1419"/>
      <c r="G20" s="1419"/>
      <c r="H20" s="1419"/>
      <c r="I20" s="1419"/>
      <c r="J20" s="4587" t="e">
        <f>ROUNDDOWN(J19/J8,2)</f>
        <v>#VALUE!</v>
      </c>
      <c r="K20" s="4588"/>
    </row>
    <row r="21" spans="1:13" ht="7.35" customHeight="1">
      <c r="A21" s="4636"/>
      <c r="B21" s="4636"/>
      <c r="C21" s="4636"/>
      <c r="D21" s="4637"/>
      <c r="E21" s="4637"/>
      <c r="F21" s="4637"/>
      <c r="G21" s="4637"/>
      <c r="H21" s="4637"/>
      <c r="I21" s="4637"/>
      <c r="J21" s="4637"/>
      <c r="K21" s="1440"/>
    </row>
    <row r="22" spans="1:13" ht="14.25" customHeight="1" thickBot="1">
      <c r="A22" s="1416"/>
      <c r="B22" s="1416"/>
      <c r="C22" s="1450">
        <v>9</v>
      </c>
      <c r="D22" s="1442" t="s">
        <v>4184</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4185</v>
      </c>
      <c r="C24" s="1426"/>
      <c r="D24" s="1426"/>
      <c r="E24" s="1426"/>
      <c r="F24" s="1426"/>
      <c r="G24" s="1426"/>
      <c r="H24" s="1426"/>
      <c r="I24" s="1426"/>
      <c r="J24" s="1426"/>
      <c r="K24" s="1427"/>
    </row>
    <row r="25" spans="1:13" ht="14.25" customHeight="1">
      <c r="A25" s="1486" t="s">
        <v>4216</v>
      </c>
      <c r="C25" s="1426"/>
      <c r="D25" s="1426"/>
      <c r="E25" s="1426"/>
      <c r="F25" s="1426"/>
      <c r="G25" s="1426"/>
      <c r="H25" s="1426"/>
      <c r="I25" s="1426"/>
      <c r="J25" s="1426"/>
      <c r="K25" s="1427"/>
    </row>
    <row r="26" spans="1:13" ht="14.25" customHeight="1">
      <c r="A26" s="1486" t="s">
        <v>4217</v>
      </c>
      <c r="C26" s="1426"/>
      <c r="D26" s="1426"/>
      <c r="E26" s="1426"/>
      <c r="F26" s="1426"/>
      <c r="G26" s="1426"/>
      <c r="H26" s="1426"/>
      <c r="I26" s="1426"/>
      <c r="J26" s="1426"/>
      <c r="K26" s="1427"/>
    </row>
    <row r="27" spans="1:13" ht="14.25" customHeight="1">
      <c r="A27" s="1486" t="s">
        <v>4218</v>
      </c>
      <c r="C27" s="1426"/>
      <c r="D27" s="1426"/>
      <c r="E27" s="1426"/>
      <c r="F27" s="1426"/>
      <c r="G27" s="1426"/>
      <c r="H27" s="1426"/>
      <c r="I27" s="1426"/>
      <c r="J27" s="1426"/>
      <c r="K27" s="1427"/>
    </row>
    <row r="28" spans="1:13" ht="14.25" customHeight="1">
      <c r="A28" s="1486" t="s">
        <v>4219</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4215</v>
      </c>
      <c r="B30" s="4604"/>
      <c r="C30" s="4604"/>
      <c r="D30" s="4604"/>
      <c r="E30" s="4604"/>
      <c r="F30" s="4604"/>
      <c r="G30" s="4604"/>
      <c r="H30" s="4604"/>
      <c r="I30" s="4604"/>
      <c r="J30" s="4604"/>
      <c r="K30" s="4605"/>
    </row>
    <row r="31" spans="1:13">
      <c r="A31" s="1434"/>
      <c r="B31" s="4606" t="s">
        <v>4172</v>
      </c>
      <c r="C31" s="4606"/>
      <c r="D31" s="4606"/>
      <c r="E31" s="4606"/>
      <c r="F31" s="4606"/>
      <c r="G31" s="4638" t="s">
        <v>4186</v>
      </c>
      <c r="H31" s="4639"/>
      <c r="I31" s="4639"/>
      <c r="J31" s="4639"/>
      <c r="K31" s="4640"/>
    </row>
    <row r="32" spans="1:13" ht="56.25" customHeight="1">
      <c r="A32" s="1435"/>
      <c r="B32" s="1454" t="s">
        <v>4214</v>
      </c>
      <c r="C32" s="1455" t="s">
        <v>4210</v>
      </c>
      <c r="D32" s="1455" t="s">
        <v>4209</v>
      </c>
      <c r="E32" s="4641" t="s">
        <v>6312</v>
      </c>
      <c r="F32" s="4642"/>
      <c r="G32" s="1456" t="s">
        <v>4187</v>
      </c>
      <c r="H32" s="1456" t="s">
        <v>4188</v>
      </c>
      <c r="J32" s="1456" t="s">
        <v>4189</v>
      </c>
      <c r="K32" s="1456" t="s">
        <v>4190</v>
      </c>
      <c r="L32" s="4598" t="s">
        <v>4191</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4192</v>
      </c>
      <c r="H52" s="1458" t="e">
        <f>SUM(H33:H51)</f>
        <v>#VALUE!</v>
      </c>
      <c r="I52" s="1441"/>
      <c r="J52" s="1447" t="s">
        <v>4193</v>
      </c>
      <c r="K52" s="1443" t="e">
        <f>SUM(K33:K51)</f>
        <v>#VALUE!</v>
      </c>
      <c r="L52" s="4598"/>
      <c r="M52" s="4598"/>
    </row>
    <row r="53" spans="1:13" ht="15" customHeight="1">
      <c r="A53" s="1434"/>
      <c r="B53" s="1448"/>
      <c r="C53" s="4620" t="s">
        <v>4194</v>
      </c>
      <c r="D53" s="4620"/>
      <c r="E53" s="4620"/>
      <c r="F53" s="4620"/>
      <c r="G53" s="4620"/>
      <c r="H53" s="4620"/>
      <c r="I53" s="4620"/>
      <c r="J53" s="4621"/>
      <c r="K53" s="1449" t="str">
        <f>IF(J17="no",0,IF(J17="yes",J16,"Error"))</f>
        <v>Error</v>
      </c>
      <c r="L53" s="4598"/>
      <c r="M53" s="4598"/>
    </row>
    <row r="54" spans="1:13" ht="15" customHeight="1" thickBot="1">
      <c r="A54" s="1434"/>
      <c r="B54" s="1448"/>
      <c r="C54" s="4622" t="s">
        <v>4195</v>
      </c>
      <c r="D54" s="4622"/>
      <c r="E54" s="4622"/>
      <c r="F54" s="4622"/>
      <c r="G54" s="4622"/>
      <c r="H54" s="4622"/>
      <c r="I54" s="4622"/>
      <c r="J54" s="4623"/>
      <c r="K54" s="1461" t="e">
        <f>K52+K53</f>
        <v>#VALUE!</v>
      </c>
    </row>
    <row r="55" spans="1:13" ht="8.1" customHeight="1">
      <c r="A55" s="4624"/>
      <c r="B55" s="4615"/>
      <c r="C55" s="4615"/>
      <c r="D55" s="4615"/>
      <c r="E55" s="4615"/>
      <c r="F55" s="4615"/>
      <c r="G55" s="4615"/>
      <c r="H55" s="4615"/>
      <c r="I55" s="4615"/>
      <c r="J55" s="4615"/>
      <c r="K55" s="1475"/>
    </row>
    <row r="56" spans="1:13" ht="15" customHeight="1">
      <c r="A56" s="4607" t="s">
        <v>4196</v>
      </c>
      <c r="B56" s="4608"/>
      <c r="C56" s="4608"/>
      <c r="D56" s="4608"/>
      <c r="E56" s="4608"/>
      <c r="F56" s="4608"/>
      <c r="G56" s="4608"/>
      <c r="H56" s="4608"/>
      <c r="I56" s="4608"/>
      <c r="J56" s="4608"/>
      <c r="K56" s="4609"/>
    </row>
    <row r="57" spans="1:13" ht="48" customHeight="1">
      <c r="A57" s="1431"/>
      <c r="B57" s="1422"/>
      <c r="C57" s="1433" t="s">
        <v>4197</v>
      </c>
      <c r="D57" s="1555" t="s">
        <v>6272</v>
      </c>
      <c r="E57" s="4625" t="s">
        <v>4213</v>
      </c>
      <c r="F57" s="4626"/>
      <c r="G57" s="4627" t="s">
        <v>4198</v>
      </c>
      <c r="H57" s="4628"/>
      <c r="I57" s="4625" t="s">
        <v>4212</v>
      </c>
      <c r="J57" s="4626"/>
      <c r="K57" s="4629"/>
    </row>
    <row r="58" spans="1:13" ht="15" customHeight="1">
      <c r="A58" s="1532"/>
      <c r="B58" s="1552"/>
      <c r="C58" s="1444">
        <f>SUMIF(C33:C51, "0", H33:H51)</f>
        <v>0</v>
      </c>
      <c r="D58" s="1556">
        <f t="shared" ref="D58:D63" si="4">ROUNDUP(C58*1.1,0)</f>
        <v>0</v>
      </c>
      <c r="E58" s="4631" t="s">
        <v>4199</v>
      </c>
      <c r="F58" s="4632"/>
      <c r="G58" s="4633">
        <v>153314.4</v>
      </c>
      <c r="H58" s="4634"/>
      <c r="I58" s="4635">
        <f t="shared" ref="I58:I63" si="5">D58*G58</f>
        <v>0</v>
      </c>
      <c r="J58" s="4635"/>
      <c r="K58" s="4630"/>
    </row>
    <row r="59" spans="1:13">
      <c r="A59" s="1532"/>
      <c r="B59" s="1552"/>
      <c r="C59" s="1445">
        <f>SUMIF(C33:C51, "1", H33:H51)</f>
        <v>0</v>
      </c>
      <c r="D59" s="1557">
        <f t="shared" si="4"/>
        <v>0</v>
      </c>
      <c r="E59" s="4616" t="s">
        <v>2559</v>
      </c>
      <c r="F59" s="4617"/>
      <c r="G59" s="4618">
        <v>175752</v>
      </c>
      <c r="H59" s="4619"/>
      <c r="I59" s="4597">
        <f t="shared" si="5"/>
        <v>0</v>
      </c>
      <c r="J59" s="4597"/>
      <c r="K59" s="4630"/>
    </row>
    <row r="60" spans="1:13" ht="15" customHeight="1">
      <c r="A60" s="1532"/>
      <c r="B60" s="1552"/>
      <c r="C60" s="1445">
        <f>SUMIF(C33:C51, "2", H33:H51)</f>
        <v>0</v>
      </c>
      <c r="D60" s="1557">
        <f t="shared" si="4"/>
        <v>0</v>
      </c>
      <c r="E60" s="4616" t="s">
        <v>2560</v>
      </c>
      <c r="F60" s="4617"/>
      <c r="G60" s="4618">
        <v>213717.6</v>
      </c>
      <c r="H60" s="4619"/>
      <c r="I60" s="4597">
        <f t="shared" si="5"/>
        <v>0</v>
      </c>
      <c r="J60" s="4597"/>
      <c r="K60" s="4630"/>
    </row>
    <row r="61" spans="1:13">
      <c r="A61" s="1532"/>
      <c r="B61" s="1552"/>
      <c r="C61" s="1445">
        <f>SUMIF(C33:C51, "3", H33:H51)</f>
        <v>0</v>
      </c>
      <c r="D61" s="1557">
        <f t="shared" si="4"/>
        <v>0</v>
      </c>
      <c r="E61" s="4616" t="s">
        <v>2563</v>
      </c>
      <c r="F61" s="4617"/>
      <c r="G61" s="4618">
        <v>276482.40000000002</v>
      </c>
      <c r="H61" s="4619"/>
      <c r="I61" s="4597">
        <f t="shared" si="5"/>
        <v>0</v>
      </c>
      <c r="J61" s="4597"/>
      <c r="K61" s="4630"/>
    </row>
    <row r="62" spans="1:13">
      <c r="A62" s="1532"/>
      <c r="B62" s="1552"/>
      <c r="C62" s="1445">
        <f>SUMIF(C33:C51, "4", H33:H51)</f>
        <v>0</v>
      </c>
      <c r="D62" s="1557">
        <f t="shared" si="4"/>
        <v>0</v>
      </c>
      <c r="E62" s="4616" t="s">
        <v>4200</v>
      </c>
      <c r="F62" s="4617"/>
      <c r="G62" s="4618">
        <v>303489.59999999998</v>
      </c>
      <c r="H62" s="4619"/>
      <c r="I62" s="4597">
        <f t="shared" si="5"/>
        <v>0</v>
      </c>
      <c r="J62" s="4597"/>
      <c r="K62" s="4630"/>
    </row>
    <row r="63" spans="1:13">
      <c r="A63" s="1553"/>
      <c r="B63" s="1554"/>
      <c r="C63" s="1446">
        <f>SUMIF(C33:C51, "5", H33:H51)</f>
        <v>0</v>
      </c>
      <c r="D63" s="1558">
        <f t="shared" si="4"/>
        <v>0</v>
      </c>
      <c r="E63" s="4610" t="s">
        <v>4201</v>
      </c>
      <c r="F63" s="4611"/>
      <c r="G63" s="4612">
        <v>303489.59999999998</v>
      </c>
      <c r="H63" s="4613"/>
      <c r="I63" s="4614">
        <f t="shared" si="5"/>
        <v>0</v>
      </c>
      <c r="J63" s="4614"/>
      <c r="K63" s="1473"/>
    </row>
    <row r="64" spans="1:13" ht="17.25" thickBot="1">
      <c r="A64" s="1551" t="s">
        <v>4202</v>
      </c>
      <c r="B64" s="1463">
        <f>SUM(C58:C63)</f>
        <v>0</v>
      </c>
      <c r="C64" s="1559"/>
      <c r="D64" s="1559">
        <f>SUM(D58:D63)</f>
        <v>0</v>
      </c>
      <c r="E64" s="1550"/>
      <c r="F64" s="1550"/>
      <c r="G64" s="1550"/>
      <c r="H64" s="1550"/>
      <c r="I64" s="1550"/>
      <c r="J64" s="1533" t="s">
        <v>4203</v>
      </c>
      <c r="K64" s="1462">
        <f>SUM(I58:I62)</f>
        <v>0</v>
      </c>
    </row>
    <row r="65" spans="1:11">
      <c r="A65" s="4615"/>
      <c r="B65" s="4615"/>
      <c r="C65" s="4615"/>
      <c r="D65" s="4615"/>
      <c r="E65" s="4615"/>
      <c r="F65" s="4615"/>
      <c r="G65" s="4615"/>
      <c r="H65" s="4615"/>
      <c r="I65" s="4615"/>
      <c r="J65" s="4615"/>
    </row>
    <row r="66" spans="1:11">
      <c r="A66" s="4607" t="s">
        <v>4204</v>
      </c>
      <c r="B66" s="4608"/>
      <c r="C66" s="4608"/>
      <c r="D66" s="4608"/>
      <c r="E66" s="4608"/>
      <c r="F66" s="4608"/>
      <c r="G66" s="4608"/>
      <c r="H66" s="4608"/>
      <c r="I66" s="4608"/>
      <c r="J66" s="4608"/>
      <c r="K66" s="4609"/>
    </row>
    <row r="67" spans="1:11" ht="15" customHeight="1">
      <c r="A67" s="1464"/>
      <c r="B67" s="1421"/>
      <c r="C67" s="1467"/>
      <c r="D67" s="1467"/>
      <c r="E67" s="1467" t="s">
        <v>4205</v>
      </c>
      <c r="F67" s="1467"/>
      <c r="G67" s="1467"/>
      <c r="H67" s="1467"/>
      <c r="I67" s="1467"/>
      <c r="J67" s="1468"/>
      <c r="K67" s="1430">
        <f>J11</f>
        <v>0</v>
      </c>
    </row>
    <row r="68" spans="1:11">
      <c r="A68" s="1465"/>
      <c r="B68" s="1434"/>
      <c r="C68" s="1457"/>
      <c r="D68" s="1457"/>
      <c r="E68" s="1457" t="s">
        <v>4206</v>
      </c>
      <c r="F68" s="1457"/>
      <c r="G68" s="1457"/>
      <c r="H68" s="1457"/>
      <c r="I68" s="1457"/>
      <c r="J68" s="1469"/>
      <c r="K68" s="1430" t="e">
        <f>K54</f>
        <v>#VALUE!</v>
      </c>
    </row>
    <row r="69" spans="1:11" ht="17.25" thickBot="1">
      <c r="A69" s="1466"/>
      <c r="B69" s="1423"/>
      <c r="C69" s="1470"/>
      <c r="D69" s="1470"/>
      <c r="E69" s="1470" t="s">
        <v>4207</v>
      </c>
      <c r="F69" s="1470"/>
      <c r="G69" s="1470"/>
      <c r="H69" s="1470"/>
      <c r="I69" s="1470"/>
      <c r="J69" s="1471"/>
      <c r="K69" s="1474">
        <f>K64</f>
        <v>0</v>
      </c>
    </row>
    <row r="70" spans="1:11" ht="17.25" thickBot="1">
      <c r="A70" s="1432"/>
      <c r="B70" s="1424"/>
      <c r="C70" s="4599" t="s">
        <v>4208</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Wagon Works</v>
      </c>
    </row>
    <row r="2" spans="1:11">
      <c r="A2" s="636" t="s">
        <v>3002</v>
      </c>
      <c r="H2" s="699" t="str">
        <f>'Sensitivity Analysis'!E8</f>
        <v>2021-006</v>
      </c>
    </row>
    <row r="3" spans="1:11" ht="3" customHeight="1"/>
    <row r="4" spans="1:11" ht="51.75" customHeight="1">
      <c r="A4" s="4660" t="s">
        <v>3098</v>
      </c>
      <c r="B4" s="4660"/>
      <c r="C4" s="4660"/>
      <c r="D4" s="4660"/>
      <c r="E4" s="4660"/>
      <c r="F4" s="4660"/>
      <c r="G4" s="4660"/>
      <c r="H4" s="4660"/>
      <c r="J4" s="1077">
        <f>SUM('Part VII-Pro Forma'!B15:B17)/12</f>
        <v>73559.187000000005</v>
      </c>
      <c r="K4" s="1076" t="s">
        <v>3816</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6" t="s">
        <v>3095</v>
      </c>
      <c r="C11" s="4666"/>
      <c r="D11" s="4666"/>
      <c r="E11" s="4666"/>
      <c r="F11" s="4666"/>
      <c r="G11" s="4667">
        <f>'Part III-Sources of Funds'!I51+'Part III-Sources of Funds'!I52</f>
        <v>14999100</v>
      </c>
      <c r="H11" s="4667"/>
    </row>
    <row r="12" spans="1:11" ht="1.5" customHeight="1">
      <c r="G12" s="712"/>
      <c r="H12" s="712"/>
    </row>
    <row r="13" spans="1:11" ht="26.25" customHeight="1">
      <c r="A13" s="743" t="s">
        <v>1895</v>
      </c>
      <c r="B13" s="4666" t="s">
        <v>3096</v>
      </c>
      <c r="C13" s="4666"/>
      <c r="D13" s="4666"/>
      <c r="E13" s="4666"/>
      <c r="F13" s="4666"/>
      <c r="G13" s="4668" t="s">
        <v>2933</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83" t="s">
        <v>2625</v>
      </c>
      <c r="H18" s="4483"/>
    </row>
    <row r="19" spans="1:8" ht="12" hidden="1" customHeight="1">
      <c r="B19" s="4483"/>
      <c r="C19" s="4483"/>
      <c r="D19" s="4483"/>
      <c r="E19" s="4483"/>
      <c r="F19" s="4483"/>
      <c r="G19" s="4483"/>
      <c r="H19" s="4483"/>
    </row>
    <row r="20" spans="1:8" ht="13.5" customHeight="1"/>
    <row r="21" spans="1:8" ht="12" customHeight="1">
      <c r="A21" s="636" t="s">
        <v>3006</v>
      </c>
    </row>
    <row r="22" spans="1:8" ht="3" customHeight="1"/>
    <row r="23" spans="1:8" ht="24.75" customHeight="1">
      <c r="A23" s="4669" t="s">
        <v>4290</v>
      </c>
      <c r="B23" s="4669"/>
      <c r="C23" s="4669"/>
      <c r="D23" s="4669"/>
      <c r="E23" s="4669"/>
      <c r="F23" s="4669"/>
      <c r="G23" s="4669"/>
      <c r="H23" s="4669"/>
    </row>
    <row r="24" spans="1:8" ht="9" customHeight="1" thickBot="1">
      <c r="A24" s="702"/>
    </row>
    <row r="25" spans="1:8" ht="16.350000000000001" customHeight="1" thickBot="1">
      <c r="A25" s="4661">
        <v>20</v>
      </c>
      <c r="B25" s="4662"/>
      <c r="C25" s="1516" t="s">
        <v>1000</v>
      </c>
    </row>
    <row r="26" spans="1:8" ht="9" customHeight="1">
      <c r="A26" s="702"/>
    </row>
    <row r="27" spans="1:8" ht="28.35" customHeight="1">
      <c r="A27" s="4665" t="s">
        <v>4295</v>
      </c>
      <c r="B27" s="4665"/>
      <c r="C27" s="4665"/>
      <c r="D27" s="4665"/>
      <c r="E27" s="4665"/>
      <c r="F27" s="4665"/>
      <c r="G27" s="4665"/>
      <c r="H27" s="4665"/>
    </row>
    <row r="28" spans="1:8" ht="9" customHeight="1">
      <c r="A28" s="702"/>
    </row>
    <row r="29" spans="1:8">
      <c r="A29" s="717" t="s">
        <v>3100</v>
      </c>
      <c r="B29" s="744" t="str">
        <f>IF('Part VI-Revenues &amp; Expenses'!$K$62=0,"",'Part VI-Revenues &amp; Expenses'!$K$62)</f>
        <v/>
      </c>
      <c r="C29" s="717" t="s">
        <v>4288</v>
      </c>
      <c r="D29" s="745" t="s">
        <v>4289</v>
      </c>
    </row>
    <row r="30" spans="1:8" ht="2.1"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4293</v>
      </c>
      <c r="E33" s="4660" t="s">
        <v>3243</v>
      </c>
      <c r="F33" s="4660"/>
      <c r="G33" s="4660"/>
      <c r="H33" s="4660"/>
    </row>
    <row r="34" spans="1:11" ht="12.75" customHeight="1">
      <c r="C34" s="1515"/>
      <c r="D34" s="1513" t="s">
        <v>3104</v>
      </c>
      <c r="E34" s="4663" t="s">
        <v>3244</v>
      </c>
      <c r="F34" s="4663"/>
      <c r="G34" s="4663"/>
      <c r="H34" s="4663"/>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4293</v>
      </c>
      <c r="E38" s="4660" t="s">
        <v>3243</v>
      </c>
      <c r="F38" s="4660"/>
      <c r="G38" s="4660"/>
      <c r="H38" s="4660"/>
    </row>
    <row r="39" spans="1:11" ht="12.75" customHeight="1">
      <c r="C39" s="1515"/>
      <c r="D39" s="1513" t="s">
        <v>3104</v>
      </c>
      <c r="E39" s="4663" t="s">
        <v>3244</v>
      </c>
      <c r="F39" s="4663"/>
      <c r="G39" s="4663"/>
      <c r="H39" s="4663"/>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4293</v>
      </c>
      <c r="E43" s="4660" t="s">
        <v>3243</v>
      </c>
      <c r="F43" s="4660"/>
      <c r="G43" s="4660"/>
      <c r="H43" s="4660"/>
    </row>
    <row r="44" spans="1:11" ht="12.75" customHeight="1">
      <c r="C44" s="1515"/>
      <c r="D44" s="1513" t="s">
        <v>3104</v>
      </c>
      <c r="E44" s="4663" t="s">
        <v>3244</v>
      </c>
      <c r="F44" s="4663"/>
      <c r="G44" s="4663"/>
      <c r="H44" s="4663"/>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2.1"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4293</v>
      </c>
      <c r="E50" s="4660" t="s">
        <v>3243</v>
      </c>
      <c r="F50" s="4660"/>
      <c r="G50" s="4660"/>
      <c r="H50" s="4660"/>
    </row>
    <row r="51" spans="1:11" ht="12.75" customHeight="1">
      <c r="C51" s="1515"/>
      <c r="D51" s="1512" t="s">
        <v>3104</v>
      </c>
      <c r="E51" s="4664" t="s">
        <v>3244</v>
      </c>
      <c r="F51" s="4664"/>
      <c r="G51" s="4664"/>
      <c r="H51" s="4664"/>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4293</v>
      </c>
      <c r="E55" s="4660" t="s">
        <v>3243</v>
      </c>
      <c r="F55" s="4660"/>
      <c r="G55" s="4660"/>
      <c r="H55" s="4660"/>
    </row>
    <row r="56" spans="1:11" ht="12.75" customHeight="1">
      <c r="C56" s="1515"/>
      <c r="D56" s="1513" t="s">
        <v>3104</v>
      </c>
      <c r="E56" s="4663" t="s">
        <v>3244</v>
      </c>
      <c r="F56" s="4663"/>
      <c r="G56" s="4663"/>
      <c r="H56" s="4663"/>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4293</v>
      </c>
      <c r="E60" s="4660" t="s">
        <v>3243</v>
      </c>
      <c r="F60" s="4660"/>
      <c r="G60" s="4660"/>
      <c r="H60" s="4660"/>
    </row>
    <row r="61" spans="1:11" ht="12.75" customHeight="1">
      <c r="C61" s="1515"/>
      <c r="D61" s="1513" t="s">
        <v>3104</v>
      </c>
      <c r="E61" s="4663" t="s">
        <v>3244</v>
      </c>
      <c r="F61" s="4663"/>
      <c r="G61" s="4663"/>
      <c r="H61" s="4663"/>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2.1"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4293</v>
      </c>
      <c r="E67" s="4660" t="s">
        <v>3243</v>
      </c>
      <c r="F67" s="4660"/>
      <c r="G67" s="4660"/>
      <c r="H67" s="4660"/>
    </row>
    <row r="68" spans="1:8" ht="12.75" customHeight="1">
      <c r="C68" s="1515"/>
      <c r="D68" s="1512" t="s">
        <v>3104</v>
      </c>
      <c r="E68" s="4664" t="s">
        <v>3244</v>
      </c>
      <c r="F68" s="4664"/>
      <c r="G68" s="4664"/>
      <c r="H68" s="4664"/>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4293</v>
      </c>
      <c r="E72" s="4660" t="s">
        <v>3243</v>
      </c>
      <c r="F72" s="4660"/>
      <c r="G72" s="4660"/>
      <c r="H72" s="4660"/>
    </row>
    <row r="73" spans="1:8" ht="12.75" customHeight="1">
      <c r="C73" s="1515"/>
      <c r="D73" s="1513" t="s">
        <v>3104</v>
      </c>
      <c r="E73" s="4663" t="s">
        <v>3244</v>
      </c>
      <c r="F73" s="4663"/>
      <c r="G73" s="4663"/>
      <c r="H73" s="4663"/>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4293</v>
      </c>
      <c r="E77" s="4660" t="s">
        <v>3243</v>
      </c>
      <c r="F77" s="4660"/>
      <c r="G77" s="4660"/>
      <c r="H77" s="4660"/>
    </row>
    <row r="78" spans="1:8" ht="12.75" customHeight="1">
      <c r="C78" s="1515"/>
      <c r="D78" s="1513" t="s">
        <v>3104</v>
      </c>
      <c r="E78" s="4663" t="s">
        <v>3244</v>
      </c>
      <c r="F78" s="4663"/>
      <c r="G78" s="4663"/>
      <c r="H78" s="4663"/>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2.1"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4293</v>
      </c>
      <c r="E84" s="4660" t="s">
        <v>3243</v>
      </c>
      <c r="F84" s="4660"/>
      <c r="G84" s="4660"/>
      <c r="H84" s="4660"/>
    </row>
    <row r="85" spans="3:8" ht="12.75" customHeight="1">
      <c r="C85" s="1515"/>
      <c r="D85" s="1512" t="s">
        <v>3104</v>
      </c>
      <c r="E85" s="4664" t="s">
        <v>3244</v>
      </c>
      <c r="F85" s="4664"/>
      <c r="G85" s="4664"/>
      <c r="H85" s="4664"/>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4293</v>
      </c>
      <c r="E89" s="4660" t="s">
        <v>3243</v>
      </c>
      <c r="F89" s="4660"/>
      <c r="G89" s="4660"/>
      <c r="H89" s="4660"/>
    </row>
    <row r="90" spans="3:8" ht="12.75" customHeight="1">
      <c r="C90" s="1515"/>
      <c r="D90" s="1513" t="s">
        <v>3104</v>
      </c>
      <c r="E90" s="4663" t="s">
        <v>3244</v>
      </c>
      <c r="F90" s="4663"/>
      <c r="G90" s="4663"/>
      <c r="H90" s="4663"/>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4293</v>
      </c>
      <c r="E94" s="4660" t="s">
        <v>3243</v>
      </c>
      <c r="F94" s="4660"/>
      <c r="G94" s="4660"/>
      <c r="H94" s="4660"/>
    </row>
    <row r="95" spans="3:8" ht="12.75" customHeight="1">
      <c r="C95" s="1515"/>
      <c r="D95" s="1513" t="s">
        <v>3104</v>
      </c>
      <c r="E95" s="4663" t="s">
        <v>3244</v>
      </c>
      <c r="F95" s="4663"/>
      <c r="G95" s="4663"/>
      <c r="H95" s="4663"/>
    </row>
    <row r="96" spans="3:8" ht="6" customHeight="1">
      <c r="D96" s="746"/>
      <c r="E96" s="1511"/>
      <c r="F96" s="1511"/>
      <c r="G96" s="1511"/>
      <c r="H96" s="1511"/>
    </row>
    <row r="97" spans="1:11">
      <c r="A97" s="717" t="s">
        <v>3100</v>
      </c>
      <c r="B97" s="744" t="str">
        <f>IF('Part VI-Revenues &amp; Expenses'!$O$62=0,"",'Part VI-Revenues &amp; Expenses'!$O$62)</f>
        <v/>
      </c>
      <c r="C97" s="717" t="s">
        <v>4291</v>
      </c>
      <c r="D97" s="745" t="s">
        <v>4292</v>
      </c>
    </row>
    <row r="98" spans="1:11" ht="2.1"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3243</v>
      </c>
      <c r="F101" s="4660"/>
      <c r="G101" s="4660"/>
      <c r="H101" s="4660"/>
    </row>
    <row r="102" spans="1:11" ht="12.75" customHeight="1">
      <c r="D102" s="749" t="s">
        <v>3104</v>
      </c>
      <c r="E102" s="4660" t="s">
        <v>3244</v>
      </c>
      <c r="F102" s="4660"/>
      <c r="G102" s="4660"/>
      <c r="H102" s="4660"/>
    </row>
    <row r="103" spans="1:11" ht="9" customHeight="1" thickBot="1"/>
    <row r="104" spans="1:11" ht="16.350000000000001" customHeight="1" thickBot="1">
      <c r="A104" s="4661">
        <v>30</v>
      </c>
      <c r="B104" s="4662"/>
      <c r="C104" s="1516" t="s">
        <v>1000</v>
      </c>
    </row>
    <row r="105" spans="1:11" ht="9" customHeight="1">
      <c r="A105" s="702"/>
    </row>
    <row r="106" spans="1:11" ht="28.35" customHeight="1">
      <c r="A106" s="4665" t="s">
        <v>4296</v>
      </c>
      <c r="B106" s="4665"/>
      <c r="C106" s="4665"/>
      <c r="D106" s="4665"/>
      <c r="E106" s="4665"/>
      <c r="F106" s="4665"/>
      <c r="G106" s="4665"/>
      <c r="H106" s="4665"/>
    </row>
    <row r="107" spans="1:11" ht="9" customHeight="1">
      <c r="A107" s="702"/>
    </row>
    <row r="108" spans="1:11">
      <c r="A108" s="717" t="s">
        <v>3100</v>
      </c>
      <c r="B108" s="744" t="str">
        <f>IF('Part VI-Revenues &amp; Expenses'!$K$61=0,"",'Part VI-Revenues &amp; Expenses'!$K$61)</f>
        <v/>
      </c>
      <c r="C108" s="717" t="s">
        <v>4288</v>
      </c>
      <c r="D108" s="745" t="s">
        <v>4289</v>
      </c>
    </row>
    <row r="109" spans="1:11" ht="2.1"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4293</v>
      </c>
      <c r="E112" s="4660" t="s">
        <v>3243</v>
      </c>
      <c r="F112" s="4660"/>
      <c r="G112" s="4660"/>
      <c r="H112" s="4660"/>
    </row>
    <row r="113" spans="1:8" ht="12.75" customHeight="1">
      <c r="C113" s="1515"/>
      <c r="D113" s="1513" t="s">
        <v>3104</v>
      </c>
      <c r="E113" s="4663" t="s">
        <v>3244</v>
      </c>
      <c r="F113" s="4663"/>
      <c r="G113" s="4663"/>
      <c r="H113" s="4663"/>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4293</v>
      </c>
      <c r="E117" s="4660" t="s">
        <v>3243</v>
      </c>
      <c r="F117" s="4660"/>
      <c r="G117" s="4660"/>
      <c r="H117" s="4660"/>
    </row>
    <row r="118" spans="1:8" ht="12.75" customHeight="1">
      <c r="C118" s="1515"/>
      <c r="D118" s="1513" t="s">
        <v>3104</v>
      </c>
      <c r="E118" s="4663" t="s">
        <v>3244</v>
      </c>
      <c r="F118" s="4663"/>
      <c r="G118" s="4663"/>
      <c r="H118" s="4663"/>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4293</v>
      </c>
      <c r="E122" s="4660" t="s">
        <v>3243</v>
      </c>
      <c r="F122" s="4660"/>
      <c r="G122" s="4660"/>
      <c r="H122" s="4660"/>
    </row>
    <row r="123" spans="1:8" ht="12.75" customHeight="1">
      <c r="C123" s="1515"/>
      <c r="D123" s="1513" t="s">
        <v>3104</v>
      </c>
      <c r="E123" s="4663" t="s">
        <v>3244</v>
      </c>
      <c r="F123" s="4663"/>
      <c r="G123" s="4663"/>
      <c r="H123" s="4663"/>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2.1"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4293</v>
      </c>
      <c r="E129" s="4660" t="s">
        <v>3243</v>
      </c>
      <c r="F129" s="4660"/>
      <c r="G129" s="4660"/>
      <c r="H129" s="4660"/>
    </row>
    <row r="130" spans="1:8" ht="12.75" customHeight="1">
      <c r="C130" s="1515"/>
      <c r="D130" s="1512" t="s">
        <v>3104</v>
      </c>
      <c r="E130" s="4664" t="s">
        <v>3244</v>
      </c>
      <c r="F130" s="4664"/>
      <c r="G130" s="4664"/>
      <c r="H130" s="4664"/>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4293</v>
      </c>
      <c r="E134" s="4660" t="s">
        <v>3243</v>
      </c>
      <c r="F134" s="4660"/>
      <c r="G134" s="4660"/>
      <c r="H134" s="4660"/>
    </row>
    <row r="135" spans="1:8" ht="12.75" customHeight="1">
      <c r="C135" s="1515"/>
      <c r="D135" s="1513" t="s">
        <v>3104</v>
      </c>
      <c r="E135" s="4663" t="s">
        <v>3244</v>
      </c>
      <c r="F135" s="4663"/>
      <c r="G135" s="4663"/>
      <c r="H135" s="4663"/>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4293</v>
      </c>
      <c r="E139" s="4660" t="s">
        <v>3243</v>
      </c>
      <c r="F139" s="4660"/>
      <c r="G139" s="4660"/>
      <c r="H139" s="4660"/>
    </row>
    <row r="140" spans="1:8" ht="12.75" customHeight="1">
      <c r="C140" s="1515"/>
      <c r="D140" s="1513" t="s">
        <v>3104</v>
      </c>
      <c r="E140" s="4663" t="s">
        <v>3244</v>
      </c>
      <c r="F140" s="4663"/>
      <c r="G140" s="4663"/>
      <c r="H140" s="4663"/>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2.1"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4293</v>
      </c>
      <c r="E146" s="4660" t="s">
        <v>3243</v>
      </c>
      <c r="F146" s="4660"/>
      <c r="G146" s="4660"/>
      <c r="H146" s="4660"/>
    </row>
    <row r="147" spans="1:8" ht="12.75" customHeight="1">
      <c r="C147" s="1515"/>
      <c r="D147" s="1512" t="s">
        <v>3104</v>
      </c>
      <c r="E147" s="4664" t="s">
        <v>3244</v>
      </c>
      <c r="F147" s="4664"/>
      <c r="G147" s="4664"/>
      <c r="H147" s="4664"/>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4293</v>
      </c>
      <c r="E151" s="4660" t="s">
        <v>3243</v>
      </c>
      <c r="F151" s="4660"/>
      <c r="G151" s="4660"/>
      <c r="H151" s="4660"/>
    </row>
    <row r="152" spans="1:8" ht="12.75" customHeight="1">
      <c r="C152" s="1515"/>
      <c r="D152" s="1513" t="s">
        <v>3104</v>
      </c>
      <c r="E152" s="4663" t="s">
        <v>3244</v>
      </c>
      <c r="F152" s="4663"/>
      <c r="G152" s="4663"/>
      <c r="H152" s="4663"/>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4293</v>
      </c>
      <c r="E156" s="4660" t="s">
        <v>3243</v>
      </c>
      <c r="F156" s="4660"/>
      <c r="G156" s="4660"/>
      <c r="H156" s="4660"/>
    </row>
    <row r="157" spans="1:8" ht="12.75" customHeight="1">
      <c r="C157" s="1515"/>
      <c r="D157" s="1513" t="s">
        <v>3104</v>
      </c>
      <c r="E157" s="4663" t="s">
        <v>3244</v>
      </c>
      <c r="F157" s="4663"/>
      <c r="G157" s="4663"/>
      <c r="H157" s="4663"/>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2.1"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4293</v>
      </c>
      <c r="E163" s="4660" t="s">
        <v>3243</v>
      </c>
      <c r="F163" s="4660"/>
      <c r="G163" s="4660"/>
      <c r="H163" s="4660"/>
    </row>
    <row r="164" spans="1:8" ht="12.75" customHeight="1">
      <c r="C164" s="1515"/>
      <c r="D164" s="1512" t="s">
        <v>3104</v>
      </c>
      <c r="E164" s="4664" t="s">
        <v>3244</v>
      </c>
      <c r="F164" s="4664"/>
      <c r="G164" s="4664"/>
      <c r="H164" s="4664"/>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4293</v>
      </c>
      <c r="E168" s="4660" t="s">
        <v>3243</v>
      </c>
      <c r="F168" s="4660"/>
      <c r="G168" s="4660"/>
      <c r="H168" s="4660"/>
    </row>
    <row r="169" spans="1:8" ht="12.75" customHeight="1">
      <c r="C169" s="1515"/>
      <c r="D169" s="1513" t="s">
        <v>3104</v>
      </c>
      <c r="E169" s="4663" t="s">
        <v>3244</v>
      </c>
      <c r="F169" s="4663"/>
      <c r="G169" s="4663"/>
      <c r="H169" s="4663"/>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4293</v>
      </c>
      <c r="E173" s="4660" t="s">
        <v>3243</v>
      </c>
      <c r="F173" s="4660"/>
      <c r="G173" s="4660"/>
      <c r="H173" s="4660"/>
    </row>
    <row r="174" spans="1:8" ht="12.75" customHeight="1">
      <c r="C174" s="1515"/>
      <c r="D174" s="1513" t="s">
        <v>3104</v>
      </c>
      <c r="E174" s="4663" t="s">
        <v>3244</v>
      </c>
      <c r="F174" s="4663"/>
      <c r="G174" s="4663"/>
      <c r="H174" s="4663"/>
    </row>
    <row r="175" spans="1:8" ht="6" customHeight="1">
      <c r="D175" s="746"/>
      <c r="E175" s="1511"/>
      <c r="F175" s="1511"/>
      <c r="G175" s="1511"/>
      <c r="H175" s="1511"/>
    </row>
    <row r="176" spans="1:8">
      <c r="A176" s="717" t="s">
        <v>3100</v>
      </c>
      <c r="B176" s="744" t="str">
        <f>IF('Part VI-Revenues &amp; Expenses'!$O61=0,"",'Part VI-Revenues &amp; Expenses'!$O$61)</f>
        <v/>
      </c>
      <c r="C176" s="717" t="s">
        <v>4291</v>
      </c>
      <c r="D176" s="745" t="s">
        <v>4292</v>
      </c>
    </row>
    <row r="177" spans="1:11" ht="2.1"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3243</v>
      </c>
      <c r="F180" s="4660"/>
      <c r="G180" s="4660"/>
      <c r="H180" s="4660"/>
    </row>
    <row r="181" spans="1:11" ht="12.75" customHeight="1">
      <c r="D181" s="749" t="s">
        <v>3104</v>
      </c>
      <c r="E181" s="4660" t="s">
        <v>3244</v>
      </c>
      <c r="F181" s="4660"/>
      <c r="G181" s="4660"/>
      <c r="H181" s="4660"/>
    </row>
    <row r="182" spans="1:11" ht="9" customHeight="1" thickBot="1"/>
    <row r="183" spans="1:11" ht="16.350000000000001" customHeight="1" thickBot="1">
      <c r="A183" s="4661">
        <v>40</v>
      </c>
      <c r="B183" s="4662"/>
      <c r="C183" s="1516" t="s">
        <v>1000</v>
      </c>
    </row>
    <row r="184" spans="1:11" ht="9" customHeight="1">
      <c r="A184" s="702"/>
    </row>
    <row r="185" spans="1:11" ht="28.35" customHeight="1">
      <c r="A185" s="4665" t="s">
        <v>4297</v>
      </c>
      <c r="B185" s="4665"/>
      <c r="C185" s="4665"/>
      <c r="D185" s="4665"/>
      <c r="E185" s="4665"/>
      <c r="F185" s="4665"/>
      <c r="G185" s="4665"/>
      <c r="H185" s="4665"/>
    </row>
    <row r="186" spans="1:11" ht="9" customHeight="1">
      <c r="A186" s="702"/>
    </row>
    <row r="187" spans="1:11">
      <c r="A187" s="717" t="s">
        <v>3100</v>
      </c>
      <c r="B187" s="744" t="str">
        <f>IF('Part VI-Revenues &amp; Expenses'!$K$60=0,"",'Part VI-Revenues &amp; Expenses'!$K$60)</f>
        <v/>
      </c>
      <c r="C187" s="717" t="s">
        <v>4288</v>
      </c>
      <c r="D187" s="745" t="s">
        <v>4289</v>
      </c>
    </row>
    <row r="188" spans="1:11" ht="2.1"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4293</v>
      </c>
      <c r="E191" s="4660" t="s">
        <v>3243</v>
      </c>
      <c r="F191" s="4660"/>
      <c r="G191" s="4660"/>
      <c r="H191" s="4660"/>
    </row>
    <row r="192" spans="1:11" ht="12.75" customHeight="1">
      <c r="C192" s="1515"/>
      <c r="D192" s="1513" t="s">
        <v>3104</v>
      </c>
      <c r="E192" s="4663" t="s">
        <v>3244</v>
      </c>
      <c r="F192" s="4663"/>
      <c r="G192" s="4663"/>
      <c r="H192" s="4663"/>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4293</v>
      </c>
      <c r="E196" s="4660" t="s">
        <v>3243</v>
      </c>
      <c r="F196" s="4660"/>
      <c r="G196" s="4660"/>
      <c r="H196" s="4660"/>
    </row>
    <row r="197" spans="1:8" ht="12.75" customHeight="1">
      <c r="C197" s="1515"/>
      <c r="D197" s="1513" t="s">
        <v>3104</v>
      </c>
      <c r="E197" s="4663" t="s">
        <v>3244</v>
      </c>
      <c r="F197" s="4663"/>
      <c r="G197" s="4663"/>
      <c r="H197" s="4663"/>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4293</v>
      </c>
      <c r="E201" s="4660" t="s">
        <v>3243</v>
      </c>
      <c r="F201" s="4660"/>
      <c r="G201" s="4660"/>
      <c r="H201" s="4660"/>
    </row>
    <row r="202" spans="1:8" ht="12.75" customHeight="1">
      <c r="C202" s="1515"/>
      <c r="D202" s="1513" t="s">
        <v>3104</v>
      </c>
      <c r="E202" s="4663" t="s">
        <v>3244</v>
      </c>
      <c r="F202" s="4663"/>
      <c r="G202" s="4663"/>
      <c r="H202" s="4663"/>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3245</v>
      </c>
    </row>
    <row r="205" spans="1:8" ht="2.1"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4293</v>
      </c>
      <c r="E208" s="4660" t="s">
        <v>3243</v>
      </c>
      <c r="F208" s="4660"/>
      <c r="G208" s="4660"/>
      <c r="H208" s="4660"/>
    </row>
    <row r="209" spans="1:8" ht="12.75" customHeight="1">
      <c r="C209" s="1515"/>
      <c r="D209" s="1512" t="s">
        <v>3104</v>
      </c>
      <c r="E209" s="4664" t="s">
        <v>3244</v>
      </c>
      <c r="F209" s="4664"/>
      <c r="G209" s="4664"/>
      <c r="H209" s="4664"/>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4293</v>
      </c>
      <c r="E213" s="4660" t="s">
        <v>3243</v>
      </c>
      <c r="F213" s="4660"/>
      <c r="G213" s="4660"/>
      <c r="H213" s="4660"/>
    </row>
    <row r="214" spans="1:8" ht="12.75" customHeight="1">
      <c r="C214" s="1515"/>
      <c r="D214" s="1513" t="s">
        <v>3104</v>
      </c>
      <c r="E214" s="4663" t="s">
        <v>3244</v>
      </c>
      <c r="F214" s="4663"/>
      <c r="G214" s="4663"/>
      <c r="H214" s="4663"/>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4293</v>
      </c>
      <c r="E218" s="4660" t="s">
        <v>3243</v>
      </c>
      <c r="F218" s="4660"/>
      <c r="G218" s="4660"/>
      <c r="H218" s="4660"/>
    </row>
    <row r="219" spans="1:8" ht="12.75" customHeight="1">
      <c r="C219" s="1515"/>
      <c r="D219" s="1513" t="s">
        <v>3104</v>
      </c>
      <c r="E219" s="4663" t="s">
        <v>3244</v>
      </c>
      <c r="F219" s="4663"/>
      <c r="G219" s="4663"/>
      <c r="H219" s="4663"/>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3246</v>
      </c>
    </row>
    <row r="222" spans="1:8" ht="2.1"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4293</v>
      </c>
      <c r="E225" s="4660" t="s">
        <v>3243</v>
      </c>
      <c r="F225" s="4660"/>
      <c r="G225" s="4660"/>
      <c r="H225" s="4660"/>
    </row>
    <row r="226" spans="1:8" ht="12.75" customHeight="1">
      <c r="C226" s="1515"/>
      <c r="D226" s="1512" t="s">
        <v>3104</v>
      </c>
      <c r="E226" s="4664" t="s">
        <v>3244</v>
      </c>
      <c r="F226" s="4664"/>
      <c r="G226" s="4664"/>
      <c r="H226" s="4664"/>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4293</v>
      </c>
      <c r="E230" s="4660" t="s">
        <v>3243</v>
      </c>
      <c r="F230" s="4660"/>
      <c r="G230" s="4660"/>
      <c r="H230" s="4660"/>
    </row>
    <row r="231" spans="1:8" ht="12.75" customHeight="1">
      <c r="C231" s="1515"/>
      <c r="D231" s="1513" t="s">
        <v>3104</v>
      </c>
      <c r="E231" s="4663" t="s">
        <v>3244</v>
      </c>
      <c r="F231" s="4663"/>
      <c r="G231" s="4663"/>
      <c r="H231" s="4663"/>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4293</v>
      </c>
      <c r="E235" s="4660" t="s">
        <v>3243</v>
      </c>
      <c r="F235" s="4660"/>
      <c r="G235" s="4660"/>
      <c r="H235" s="4660"/>
    </row>
    <row r="236" spans="1:8" ht="12.75" customHeight="1">
      <c r="C236" s="1515"/>
      <c r="D236" s="1513" t="s">
        <v>3104</v>
      </c>
      <c r="E236" s="4663" t="s">
        <v>3244</v>
      </c>
      <c r="F236" s="4663"/>
      <c r="G236" s="4663"/>
      <c r="H236" s="4663"/>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3247</v>
      </c>
    </row>
    <row r="239" spans="1:8" ht="2.1"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4293</v>
      </c>
      <c r="E242" s="4660" t="s">
        <v>3243</v>
      </c>
      <c r="F242" s="4660"/>
      <c r="G242" s="4660"/>
      <c r="H242" s="4660"/>
    </row>
    <row r="243" spans="1:8" ht="12.75" customHeight="1">
      <c r="C243" s="1515"/>
      <c r="D243" s="1512" t="s">
        <v>3104</v>
      </c>
      <c r="E243" s="4664" t="s">
        <v>3244</v>
      </c>
      <c r="F243" s="4664"/>
      <c r="G243" s="4664"/>
      <c r="H243" s="4664"/>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4293</v>
      </c>
      <c r="E247" s="4660" t="s">
        <v>3243</v>
      </c>
      <c r="F247" s="4660"/>
      <c r="G247" s="4660"/>
      <c r="H247" s="4660"/>
    </row>
    <row r="248" spans="1:8" ht="12.75" customHeight="1">
      <c r="C248" s="1515"/>
      <c r="D248" s="1513" t="s">
        <v>3104</v>
      </c>
      <c r="E248" s="4663" t="s">
        <v>3244</v>
      </c>
      <c r="F248" s="4663"/>
      <c r="G248" s="4663"/>
      <c r="H248" s="4663"/>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4293</v>
      </c>
      <c r="E252" s="4660" t="s">
        <v>3243</v>
      </c>
      <c r="F252" s="4660"/>
      <c r="G252" s="4660"/>
      <c r="H252" s="4660"/>
    </row>
    <row r="253" spans="1:8" ht="12.75" customHeight="1">
      <c r="C253" s="1515"/>
      <c r="D253" s="1513" t="s">
        <v>3104</v>
      </c>
      <c r="E253" s="4663" t="s">
        <v>3244</v>
      </c>
      <c r="F253" s="4663"/>
      <c r="G253" s="4663"/>
      <c r="H253" s="4663"/>
    </row>
    <row r="254" spans="1:8" ht="6" customHeight="1">
      <c r="D254" s="746"/>
      <c r="E254" s="1511"/>
      <c r="F254" s="1511"/>
      <c r="G254" s="1511"/>
      <c r="H254" s="1511"/>
    </row>
    <row r="255" spans="1:8">
      <c r="A255" s="717" t="s">
        <v>3100</v>
      </c>
      <c r="B255" s="744" t="str">
        <f>IF('Part VI-Revenues &amp; Expenses'!$O$60=0,"",'Part VI-Revenues &amp; Expenses'!$O$60)</f>
        <v/>
      </c>
      <c r="C255" s="717" t="s">
        <v>4291</v>
      </c>
      <c r="D255" s="745" t="s">
        <v>4292</v>
      </c>
    </row>
    <row r="256" spans="1:8" ht="2.1"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3243</v>
      </c>
      <c r="F259" s="4660"/>
      <c r="G259" s="4660"/>
      <c r="H259" s="4660"/>
    </row>
    <row r="260" spans="1:11" ht="12.75" customHeight="1">
      <c r="D260" s="749" t="s">
        <v>3104</v>
      </c>
      <c r="E260" s="4660" t="s">
        <v>3244</v>
      </c>
      <c r="F260" s="4660"/>
      <c r="G260" s="4660"/>
      <c r="H260" s="4660"/>
    </row>
    <row r="261" spans="1:11" ht="9" customHeight="1" thickBot="1"/>
    <row r="262" spans="1:11" ht="16.350000000000001" customHeight="1" thickBot="1">
      <c r="A262" s="4661">
        <v>50</v>
      </c>
      <c r="B262" s="4662"/>
      <c r="C262" s="1516" t="s">
        <v>1000</v>
      </c>
    </row>
    <row r="263" spans="1:11" ht="9" customHeight="1">
      <c r="A263" s="702"/>
    </row>
    <row r="264" spans="1:11" ht="28.35" customHeight="1">
      <c r="A264" s="4665" t="s">
        <v>4294</v>
      </c>
      <c r="B264" s="4665"/>
      <c r="C264" s="4665"/>
      <c r="D264" s="4665"/>
      <c r="E264" s="4665"/>
      <c r="F264" s="4665"/>
      <c r="G264" s="4665"/>
      <c r="H264" s="4665"/>
    </row>
    <row r="265" spans="1:11" ht="9" customHeight="1">
      <c r="A265" s="702"/>
    </row>
    <row r="266" spans="1:11">
      <c r="A266" s="717" t="s">
        <v>3100</v>
      </c>
      <c r="B266" s="744" t="str">
        <f>IF('Part VI-Revenues &amp; Expenses'!$K$59=0,"",'Part VI-Revenues &amp; Expenses'!$K$59)</f>
        <v/>
      </c>
      <c r="C266" s="717" t="s">
        <v>4288</v>
      </c>
      <c r="D266" s="745" t="s">
        <v>4289</v>
      </c>
    </row>
    <row r="267" spans="1:11" ht="2.1"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4293</v>
      </c>
      <c r="E270" s="4660" t="s">
        <v>3243</v>
      </c>
      <c r="F270" s="4660"/>
      <c r="G270" s="4660"/>
      <c r="H270" s="4660"/>
    </row>
    <row r="271" spans="1:11" ht="12.75" customHeight="1">
      <c r="C271" s="1515"/>
      <c r="D271" s="1513" t="s">
        <v>3104</v>
      </c>
      <c r="E271" s="4663" t="s">
        <v>3244</v>
      </c>
      <c r="F271" s="4663"/>
      <c r="G271" s="4663"/>
      <c r="H271" s="4663"/>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4293</v>
      </c>
      <c r="E275" s="4660" t="s">
        <v>3243</v>
      </c>
      <c r="F275" s="4660"/>
      <c r="G275" s="4660"/>
      <c r="H275" s="4660"/>
    </row>
    <row r="276" spans="1:8" ht="12.75" customHeight="1">
      <c r="C276" s="1515"/>
      <c r="D276" s="1513" t="s">
        <v>3104</v>
      </c>
      <c r="E276" s="4663" t="s">
        <v>3244</v>
      </c>
      <c r="F276" s="4663"/>
      <c r="G276" s="4663"/>
      <c r="H276" s="4663"/>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4293</v>
      </c>
      <c r="E280" s="4660" t="s">
        <v>3243</v>
      </c>
      <c r="F280" s="4660"/>
      <c r="G280" s="4660"/>
      <c r="H280" s="4660"/>
    </row>
    <row r="281" spans="1:8" ht="12.75" customHeight="1">
      <c r="C281" s="1515"/>
      <c r="D281" s="1513" t="s">
        <v>3104</v>
      </c>
      <c r="E281" s="4663" t="s">
        <v>3244</v>
      </c>
      <c r="F281" s="4663"/>
      <c r="G281" s="4663"/>
      <c r="H281" s="4663"/>
    </row>
    <row r="282" spans="1:8" ht="6" customHeight="1">
      <c r="D282" s="746"/>
      <c r="E282" s="1511"/>
      <c r="F282" s="1511"/>
      <c r="G282" s="1511"/>
      <c r="H282" s="1511"/>
    </row>
    <row r="283" spans="1:8">
      <c r="A283" s="717" t="s">
        <v>3100</v>
      </c>
      <c r="B283" s="744">
        <f>IF('Part VI-Revenues &amp; Expenses'!$L$59=0,"",'Part VI-Revenues &amp; Expenses'!$L$59)</f>
        <v>4</v>
      </c>
      <c r="C283" s="717" t="s">
        <v>3101</v>
      </c>
      <c r="D283" s="745" t="s">
        <v>3245</v>
      </c>
    </row>
    <row r="284" spans="1:8" ht="2.1"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4293</v>
      </c>
      <c r="E287" s="4660" t="s">
        <v>3243</v>
      </c>
      <c r="F287" s="4660"/>
      <c r="G287" s="4660"/>
      <c r="H287" s="4660"/>
    </row>
    <row r="288" spans="1:8" ht="12.75" customHeight="1">
      <c r="C288" s="1515"/>
      <c r="D288" s="1512" t="s">
        <v>3104</v>
      </c>
      <c r="E288" s="4664" t="s">
        <v>3244</v>
      </c>
      <c r="F288" s="4664"/>
      <c r="G288" s="4664"/>
      <c r="H288" s="4664"/>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4293</v>
      </c>
      <c r="E292" s="4660" t="s">
        <v>3243</v>
      </c>
      <c r="F292" s="4660"/>
      <c r="G292" s="4660"/>
      <c r="H292" s="4660"/>
    </row>
    <row r="293" spans="1:8" ht="12.75" customHeight="1">
      <c r="C293" s="1515"/>
      <c r="D293" s="1513" t="s">
        <v>3104</v>
      </c>
      <c r="E293" s="4663" t="s">
        <v>3244</v>
      </c>
      <c r="F293" s="4663"/>
      <c r="G293" s="4663"/>
      <c r="H293" s="4663"/>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4293</v>
      </c>
      <c r="E297" s="4660" t="s">
        <v>3243</v>
      </c>
      <c r="F297" s="4660"/>
      <c r="G297" s="4660"/>
      <c r="H297" s="4660"/>
    </row>
    <row r="298" spans="1:8" ht="12.75" customHeight="1">
      <c r="C298" s="1515"/>
      <c r="D298" s="1513" t="s">
        <v>3104</v>
      </c>
      <c r="E298" s="4663" t="s">
        <v>3244</v>
      </c>
      <c r="F298" s="4663"/>
      <c r="G298" s="4663"/>
      <c r="H298" s="4663"/>
    </row>
    <row r="299" spans="1:8" ht="6" customHeight="1">
      <c r="D299" s="746"/>
      <c r="E299" s="1511"/>
      <c r="F299" s="1511"/>
      <c r="G299" s="1511"/>
      <c r="H299" s="1511"/>
    </row>
    <row r="300" spans="1:8">
      <c r="A300" s="717" t="s">
        <v>3100</v>
      </c>
      <c r="B300" s="744">
        <f>IF('Part VI-Revenues &amp; Expenses'!$M$59=0,"",'Part VI-Revenues &amp; Expenses'!$M$59)</f>
        <v>21</v>
      </c>
      <c r="C300" s="717" t="s">
        <v>3102</v>
      </c>
      <c r="D300" s="745" t="s">
        <v>3246</v>
      </c>
    </row>
    <row r="301" spans="1:8" ht="2.1"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4293</v>
      </c>
      <c r="E304" s="4660" t="s">
        <v>3243</v>
      </c>
      <c r="F304" s="4660"/>
      <c r="G304" s="4660"/>
      <c r="H304" s="4660"/>
    </row>
    <row r="305" spans="1:8" ht="12.75" customHeight="1">
      <c r="C305" s="1515"/>
      <c r="D305" s="1512" t="s">
        <v>3104</v>
      </c>
      <c r="E305" s="4664" t="s">
        <v>3244</v>
      </c>
      <c r="F305" s="4664"/>
      <c r="G305" s="4664"/>
      <c r="H305" s="4664"/>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4293</v>
      </c>
      <c r="E309" s="4660" t="s">
        <v>3243</v>
      </c>
      <c r="F309" s="4660"/>
      <c r="G309" s="4660"/>
      <c r="H309" s="4660"/>
    </row>
    <row r="310" spans="1:8" ht="12.75" customHeight="1">
      <c r="C310" s="1515"/>
      <c r="D310" s="1513" t="s">
        <v>3104</v>
      </c>
      <c r="E310" s="4663" t="s">
        <v>3244</v>
      </c>
      <c r="F310" s="4663"/>
      <c r="G310" s="4663"/>
      <c r="H310" s="4663"/>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4293</v>
      </c>
      <c r="E314" s="4660" t="s">
        <v>3243</v>
      </c>
      <c r="F314" s="4660"/>
      <c r="G314" s="4660"/>
      <c r="H314" s="4660"/>
    </row>
    <row r="315" spans="1:8" ht="12.75" customHeight="1">
      <c r="C315" s="1515"/>
      <c r="D315" s="1513" t="s">
        <v>3104</v>
      </c>
      <c r="E315" s="4663" t="s">
        <v>3244</v>
      </c>
      <c r="F315" s="4663"/>
      <c r="G315" s="4663"/>
      <c r="H315" s="4663"/>
    </row>
    <row r="316" spans="1:8" ht="6" customHeight="1">
      <c r="D316" s="746"/>
      <c r="E316" s="1511"/>
      <c r="F316" s="1511"/>
      <c r="G316" s="1511"/>
      <c r="H316" s="1511"/>
    </row>
    <row r="317" spans="1:8">
      <c r="A317" s="717" t="s">
        <v>3100</v>
      </c>
      <c r="B317" s="744">
        <f>IF('Part VI-Revenues &amp; Expenses'!$N$59=0,"",'Part VI-Revenues &amp; Expenses'!$N$59)</f>
        <v>2</v>
      </c>
      <c r="C317" s="717" t="s">
        <v>3103</v>
      </c>
      <c r="D317" s="745" t="s">
        <v>3247</v>
      </c>
    </row>
    <row r="318" spans="1:8" ht="2.1"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4293</v>
      </c>
      <c r="E321" s="4660" t="s">
        <v>3243</v>
      </c>
      <c r="F321" s="4660"/>
      <c r="G321" s="4660"/>
      <c r="H321" s="4660"/>
    </row>
    <row r="322" spans="1:11" ht="12.75" customHeight="1">
      <c r="C322" s="1515"/>
      <c r="D322" s="1512" t="s">
        <v>3104</v>
      </c>
      <c r="E322" s="4664" t="s">
        <v>3244</v>
      </c>
      <c r="F322" s="4664"/>
      <c r="G322" s="4664"/>
      <c r="H322" s="4664"/>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4293</v>
      </c>
      <c r="E326" s="4660" t="s">
        <v>3243</v>
      </c>
      <c r="F326" s="4660"/>
      <c r="G326" s="4660"/>
      <c r="H326" s="4660"/>
    </row>
    <row r="327" spans="1:11" ht="12.75" customHeight="1">
      <c r="C327" s="1515"/>
      <c r="D327" s="1513" t="s">
        <v>3104</v>
      </c>
      <c r="E327" s="4663" t="s">
        <v>3244</v>
      </c>
      <c r="F327" s="4663"/>
      <c r="G327" s="4663"/>
      <c r="H327" s="4663"/>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4293</v>
      </c>
      <c r="E331" s="4660" t="s">
        <v>3243</v>
      </c>
      <c r="F331" s="4660"/>
      <c r="G331" s="4660"/>
      <c r="H331" s="4660"/>
    </row>
    <row r="332" spans="1:11" ht="12.75" customHeight="1">
      <c r="C332" s="1515"/>
      <c r="D332" s="1513" t="s">
        <v>3104</v>
      </c>
      <c r="E332" s="4663" t="s">
        <v>3244</v>
      </c>
      <c r="F332" s="4663"/>
      <c r="G332" s="4663"/>
      <c r="H332" s="4663"/>
    </row>
    <row r="333" spans="1:11" ht="6" customHeight="1">
      <c r="D333" s="746"/>
      <c r="E333" s="1511"/>
      <c r="F333" s="1511"/>
      <c r="G333" s="1511"/>
      <c r="H333" s="1511"/>
    </row>
    <row r="334" spans="1:11">
      <c r="A334" s="717" t="s">
        <v>3100</v>
      </c>
      <c r="B334" s="744" t="str">
        <f>IF('Part VI-Revenues &amp; Expenses'!$O$59=0,"",'Part VI-Revenues &amp; Expenses'!$O$59)</f>
        <v/>
      </c>
      <c r="C334" s="717" t="s">
        <v>4291</v>
      </c>
      <c r="D334" s="745" t="s">
        <v>4292</v>
      </c>
    </row>
    <row r="335" spans="1:11" ht="2.1"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3243</v>
      </c>
      <c r="F338" s="4660"/>
      <c r="G338" s="4660"/>
      <c r="H338" s="4660"/>
    </row>
    <row r="339" spans="1:8" ht="12.75" customHeight="1">
      <c r="D339" s="749" t="s">
        <v>3104</v>
      </c>
      <c r="E339" s="4660" t="s">
        <v>3244</v>
      </c>
      <c r="F339" s="4660"/>
      <c r="G339" s="4660"/>
      <c r="H339" s="4660"/>
    </row>
    <row r="340" spans="1:8" ht="9" customHeight="1"/>
    <row r="341" spans="1:8" ht="7.5" customHeight="1" thickBot="1">
      <c r="E341" s="4660"/>
      <c r="F341" s="4660"/>
      <c r="G341" s="4660"/>
      <c r="H341" s="4660"/>
    </row>
    <row r="342" spans="1:8" ht="16.350000000000001" customHeight="1" thickBot="1">
      <c r="A342" s="4661">
        <v>60</v>
      </c>
      <c r="B342" s="4662"/>
      <c r="C342" s="1516" t="s">
        <v>1000</v>
      </c>
    </row>
    <row r="343" spans="1:8" ht="9" customHeight="1">
      <c r="A343" s="702"/>
    </row>
    <row r="344" spans="1:8" ht="28.35" customHeight="1">
      <c r="A344" s="4665" t="s">
        <v>4298</v>
      </c>
      <c r="B344" s="4665"/>
      <c r="C344" s="4665"/>
      <c r="D344" s="4665"/>
      <c r="E344" s="4665"/>
      <c r="F344" s="4665"/>
      <c r="G344" s="4665"/>
      <c r="H344" s="4665"/>
    </row>
    <row r="345" spans="1:8" ht="9" customHeight="1">
      <c r="A345" s="702"/>
    </row>
    <row r="346" spans="1:8">
      <c r="A346" s="717" t="s">
        <v>3100</v>
      </c>
      <c r="B346" s="744" t="str">
        <f>IF('Part VI-Revenues &amp; Expenses'!$K$58=0,"",'Part VI-Revenues &amp; Expenses'!$K$58)</f>
        <v/>
      </c>
      <c r="C346" s="717" t="s">
        <v>4288</v>
      </c>
      <c r="D346" s="745" t="s">
        <v>4289</v>
      </c>
    </row>
    <row r="347" spans="1:8" ht="2.1"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4293</v>
      </c>
      <c r="E350" s="4660" t="s">
        <v>3243</v>
      </c>
      <c r="F350" s="4660"/>
      <c r="G350" s="4660"/>
      <c r="H350" s="4660"/>
    </row>
    <row r="351" spans="1:8" ht="12.75" customHeight="1">
      <c r="C351" s="1515"/>
      <c r="D351" s="1513" t="s">
        <v>3104</v>
      </c>
      <c r="E351" s="4663" t="s">
        <v>3244</v>
      </c>
      <c r="F351" s="4663"/>
      <c r="G351" s="4663"/>
      <c r="H351" s="4663"/>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4293</v>
      </c>
      <c r="E355" s="4660" t="s">
        <v>3243</v>
      </c>
      <c r="F355" s="4660"/>
      <c r="G355" s="4660"/>
      <c r="H355" s="4660"/>
    </row>
    <row r="356" spans="1:8" ht="12.75" customHeight="1">
      <c r="C356" s="1515"/>
      <c r="D356" s="1513" t="s">
        <v>3104</v>
      </c>
      <c r="E356" s="4663" t="s">
        <v>3244</v>
      </c>
      <c r="F356" s="4663"/>
      <c r="G356" s="4663"/>
      <c r="H356" s="4663"/>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4293</v>
      </c>
      <c r="E360" s="4660" t="s">
        <v>3243</v>
      </c>
      <c r="F360" s="4660"/>
      <c r="G360" s="4660"/>
      <c r="H360" s="4660"/>
    </row>
    <row r="361" spans="1:8" ht="12.75" customHeight="1">
      <c r="C361" s="1515"/>
      <c r="D361" s="1513" t="s">
        <v>3104</v>
      </c>
      <c r="E361" s="4663" t="s">
        <v>3244</v>
      </c>
      <c r="F361" s="4663"/>
      <c r="G361" s="4663"/>
      <c r="H361" s="4663"/>
    </row>
    <row r="362" spans="1:8" ht="6" customHeight="1">
      <c r="D362" s="746"/>
      <c r="E362" s="1511"/>
      <c r="F362" s="1511"/>
      <c r="G362" s="1511"/>
      <c r="H362" s="1511"/>
    </row>
    <row r="363" spans="1:8">
      <c r="A363" s="717" t="s">
        <v>3100</v>
      </c>
      <c r="B363" s="744">
        <f>IF('Part VI-Revenues &amp; Expenses'!$L$58=0,"",'Part VI-Revenues &amp; Expenses'!$L$58)</f>
        <v>8</v>
      </c>
      <c r="C363" s="717" t="s">
        <v>3101</v>
      </c>
      <c r="D363" s="745" t="s">
        <v>3245</v>
      </c>
    </row>
    <row r="364" spans="1:8" ht="2.1"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4293</v>
      </c>
      <c r="E367" s="4660" t="s">
        <v>3243</v>
      </c>
      <c r="F367" s="4660"/>
      <c r="G367" s="4660"/>
      <c r="H367" s="4660"/>
    </row>
    <row r="368" spans="1:8" ht="12.75" customHeight="1">
      <c r="C368" s="1515"/>
      <c r="D368" s="1512" t="s">
        <v>3104</v>
      </c>
      <c r="E368" s="4664" t="s">
        <v>3244</v>
      </c>
      <c r="F368" s="4664"/>
      <c r="G368" s="4664"/>
      <c r="H368" s="4664"/>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4293</v>
      </c>
      <c r="E372" s="4660" t="s">
        <v>3243</v>
      </c>
      <c r="F372" s="4660"/>
      <c r="G372" s="4660"/>
      <c r="H372" s="4660"/>
    </row>
    <row r="373" spans="1:8" ht="12.75" customHeight="1">
      <c r="C373" s="1515"/>
      <c r="D373" s="1513" t="s">
        <v>3104</v>
      </c>
      <c r="E373" s="4663" t="s">
        <v>3244</v>
      </c>
      <c r="F373" s="4663"/>
      <c r="G373" s="4663"/>
      <c r="H373" s="4663"/>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4293</v>
      </c>
      <c r="E377" s="4660" t="s">
        <v>3243</v>
      </c>
      <c r="F377" s="4660"/>
      <c r="G377" s="4660"/>
      <c r="H377" s="4660"/>
    </row>
    <row r="378" spans="1:8" ht="12.75" customHeight="1">
      <c r="C378" s="1515"/>
      <c r="D378" s="1513" t="s">
        <v>3104</v>
      </c>
      <c r="E378" s="4663" t="s">
        <v>3244</v>
      </c>
      <c r="F378" s="4663"/>
      <c r="G378" s="4663"/>
      <c r="H378" s="4663"/>
    </row>
    <row r="379" spans="1:8" ht="6" customHeight="1">
      <c r="D379" s="746"/>
      <c r="E379" s="1511"/>
      <c r="F379" s="1511"/>
      <c r="G379" s="1511"/>
      <c r="H379" s="1511"/>
    </row>
    <row r="380" spans="1:8">
      <c r="A380" s="717" t="s">
        <v>3100</v>
      </c>
      <c r="B380" s="744">
        <f>IF('Part VI-Revenues &amp; Expenses'!$M$58=0,"",'Part VI-Revenues &amp; Expenses'!$M$58)</f>
        <v>42</v>
      </c>
      <c r="C380" s="717" t="s">
        <v>3102</v>
      </c>
      <c r="D380" s="745" t="s">
        <v>3246</v>
      </c>
    </row>
    <row r="381" spans="1:8" ht="2.1"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4293</v>
      </c>
      <c r="E384" s="4660" t="s">
        <v>3243</v>
      </c>
      <c r="F384" s="4660"/>
      <c r="G384" s="4660"/>
      <c r="H384" s="4660"/>
    </row>
    <row r="385" spans="1:8" ht="12.75" customHeight="1">
      <c r="C385" s="1515"/>
      <c r="D385" s="1512" t="s">
        <v>3104</v>
      </c>
      <c r="E385" s="4664" t="s">
        <v>3244</v>
      </c>
      <c r="F385" s="4664"/>
      <c r="G385" s="4664"/>
      <c r="H385" s="4664"/>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4293</v>
      </c>
      <c r="E389" s="4660" t="s">
        <v>3243</v>
      </c>
      <c r="F389" s="4660"/>
      <c r="G389" s="4660"/>
      <c r="H389" s="4660"/>
    </row>
    <row r="390" spans="1:8" ht="12.75" customHeight="1">
      <c r="C390" s="1515"/>
      <c r="D390" s="1513" t="s">
        <v>3104</v>
      </c>
      <c r="E390" s="4663" t="s">
        <v>3244</v>
      </c>
      <c r="F390" s="4663"/>
      <c r="G390" s="4663"/>
      <c r="H390" s="4663"/>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4293</v>
      </c>
      <c r="E394" s="4660" t="s">
        <v>3243</v>
      </c>
      <c r="F394" s="4660"/>
      <c r="G394" s="4660"/>
      <c r="H394" s="4660"/>
    </row>
    <row r="395" spans="1:8" ht="12.75" customHeight="1">
      <c r="C395" s="1515"/>
      <c r="D395" s="1513" t="s">
        <v>3104</v>
      </c>
      <c r="E395" s="4663" t="s">
        <v>3244</v>
      </c>
      <c r="F395" s="4663"/>
      <c r="G395" s="4663"/>
      <c r="H395" s="4663"/>
    </row>
    <row r="396" spans="1:8" ht="6" customHeight="1">
      <c r="D396" s="746"/>
      <c r="E396" s="1511"/>
      <c r="F396" s="1511"/>
      <c r="G396" s="1511"/>
      <c r="H396" s="1511"/>
    </row>
    <row r="397" spans="1:8">
      <c r="A397" s="717" t="s">
        <v>3100</v>
      </c>
      <c r="B397" s="744">
        <f>IF('Part VI-Revenues &amp; Expenses'!$N$58=0,"",'Part VI-Revenues &amp; Expenses'!$N$58)</f>
        <v>3</v>
      </c>
      <c r="C397" s="717" t="s">
        <v>3103</v>
      </c>
      <c r="D397" s="745" t="s">
        <v>3247</v>
      </c>
    </row>
    <row r="398" spans="1:8" ht="2.1"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4293</v>
      </c>
      <c r="E401" s="4660" t="s">
        <v>3243</v>
      </c>
      <c r="F401" s="4660"/>
      <c r="G401" s="4660"/>
      <c r="H401" s="4660"/>
    </row>
    <row r="402" spans="1:11" ht="12.75" customHeight="1">
      <c r="C402" s="1515"/>
      <c r="D402" s="1512" t="s">
        <v>3104</v>
      </c>
      <c r="E402" s="4664" t="s">
        <v>3244</v>
      </c>
      <c r="F402" s="4664"/>
      <c r="G402" s="4664"/>
      <c r="H402" s="4664"/>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4293</v>
      </c>
      <c r="E406" s="4660" t="s">
        <v>3243</v>
      </c>
      <c r="F406" s="4660"/>
      <c r="G406" s="4660"/>
      <c r="H406" s="4660"/>
    </row>
    <row r="407" spans="1:11" ht="12.75" customHeight="1">
      <c r="C407" s="1515"/>
      <c r="D407" s="1513" t="s">
        <v>3104</v>
      </c>
      <c r="E407" s="4663" t="s">
        <v>3244</v>
      </c>
      <c r="F407" s="4663"/>
      <c r="G407" s="4663"/>
      <c r="H407" s="4663"/>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4293</v>
      </c>
      <c r="E411" s="4660" t="s">
        <v>3243</v>
      </c>
      <c r="F411" s="4660"/>
      <c r="G411" s="4660"/>
      <c r="H411" s="4660"/>
    </row>
    <row r="412" spans="1:11" ht="12.75" customHeight="1">
      <c r="C412" s="1515"/>
      <c r="D412" s="1513" t="s">
        <v>3104</v>
      </c>
      <c r="E412" s="4663" t="s">
        <v>3244</v>
      </c>
      <c r="F412" s="4663"/>
      <c r="G412" s="4663"/>
      <c r="H412" s="4663"/>
    </row>
    <row r="413" spans="1:11" ht="6" customHeight="1">
      <c r="D413" s="746"/>
      <c r="E413" s="1511"/>
      <c r="F413" s="1511"/>
      <c r="G413" s="1511"/>
      <c r="H413" s="1511"/>
    </row>
    <row r="414" spans="1:11">
      <c r="A414" s="717" t="s">
        <v>3100</v>
      </c>
      <c r="B414" s="744" t="str">
        <f>IF('Part VI-Revenues &amp; Expenses'!$O$58=0,"",'Part VI-Revenues &amp; Expenses'!$O$58)</f>
        <v/>
      </c>
      <c r="C414" s="717" t="s">
        <v>4291</v>
      </c>
      <c r="D414" s="745" t="s">
        <v>4292</v>
      </c>
    </row>
    <row r="415" spans="1:11" ht="2.1"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3243</v>
      </c>
      <c r="F418" s="4660"/>
      <c r="G418" s="4660"/>
      <c r="H418" s="4660"/>
    </row>
    <row r="419" spans="1:8" ht="12.75" customHeight="1">
      <c r="D419" s="749" t="s">
        <v>3104</v>
      </c>
      <c r="E419" s="4660" t="s">
        <v>3244</v>
      </c>
      <c r="F419" s="4660"/>
      <c r="G419" s="4660"/>
      <c r="H419" s="4660"/>
    </row>
    <row r="420" spans="1:8" ht="9" customHeight="1" thickBot="1"/>
    <row r="421" spans="1:8" ht="16.350000000000001" customHeight="1" thickBot="1">
      <c r="A421" s="4661">
        <v>70</v>
      </c>
      <c r="B421" s="4662"/>
      <c r="C421" s="1516" t="s">
        <v>1000</v>
      </c>
    </row>
    <row r="422" spans="1:8" ht="9" customHeight="1">
      <c r="A422" s="702"/>
    </row>
    <row r="423" spans="1:8" ht="28.35" customHeight="1">
      <c r="A423" s="4665" t="s">
        <v>4299</v>
      </c>
      <c r="B423" s="4665"/>
      <c r="C423" s="4665"/>
      <c r="D423" s="4665"/>
      <c r="E423" s="4665"/>
      <c r="F423" s="4665"/>
      <c r="G423" s="4665"/>
      <c r="H423" s="4665"/>
    </row>
    <row r="424" spans="1:8" ht="9" customHeight="1">
      <c r="A424" s="702"/>
    </row>
    <row r="425" spans="1:8">
      <c r="A425" s="717" t="s">
        <v>3100</v>
      </c>
      <c r="B425" s="744" t="str">
        <f>IF('Part VI-Revenues &amp; Expenses'!$K$57=0,"",'Part VI-Revenues &amp; Expenses'!$K$57)</f>
        <v/>
      </c>
      <c r="C425" s="717" t="s">
        <v>4288</v>
      </c>
      <c r="D425" s="745" t="s">
        <v>4289</v>
      </c>
    </row>
    <row r="426" spans="1:8" ht="2.1"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4293</v>
      </c>
      <c r="E429" s="4660" t="s">
        <v>3243</v>
      </c>
      <c r="F429" s="4660"/>
      <c r="G429" s="4660"/>
      <c r="H429" s="4660"/>
    </row>
    <row r="430" spans="1:8" ht="12.75" customHeight="1">
      <c r="C430" s="1515"/>
      <c r="D430" s="1513" t="s">
        <v>3104</v>
      </c>
      <c r="E430" s="4663" t="s">
        <v>3244</v>
      </c>
      <c r="F430" s="4663"/>
      <c r="G430" s="4663"/>
      <c r="H430" s="4663"/>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4293</v>
      </c>
      <c r="E434" s="4660" t="s">
        <v>3243</v>
      </c>
      <c r="F434" s="4660"/>
      <c r="G434" s="4660"/>
      <c r="H434" s="4660"/>
    </row>
    <row r="435" spans="1:8" ht="12.75" customHeight="1">
      <c r="C435" s="1515"/>
      <c r="D435" s="1513" t="s">
        <v>3104</v>
      </c>
      <c r="E435" s="4663" t="s">
        <v>3244</v>
      </c>
      <c r="F435" s="4663"/>
      <c r="G435" s="4663"/>
      <c r="H435" s="4663"/>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4293</v>
      </c>
      <c r="E439" s="4660" t="s">
        <v>3243</v>
      </c>
      <c r="F439" s="4660"/>
      <c r="G439" s="4660"/>
      <c r="H439" s="4660"/>
    </row>
    <row r="440" spans="1:8" ht="12.75" customHeight="1">
      <c r="C440" s="1515"/>
      <c r="D440" s="1513" t="s">
        <v>3104</v>
      </c>
      <c r="E440" s="4663" t="s">
        <v>3244</v>
      </c>
      <c r="F440" s="4663"/>
      <c r="G440" s="4663"/>
      <c r="H440" s="4663"/>
    </row>
    <row r="441" spans="1:8" ht="6" customHeight="1">
      <c r="D441" s="746"/>
      <c r="E441" s="1511"/>
      <c r="F441" s="1511"/>
      <c r="G441" s="1511"/>
      <c r="H441" s="1511"/>
    </row>
    <row r="442" spans="1:8">
      <c r="A442" s="717" t="s">
        <v>3100</v>
      </c>
      <c r="B442" s="744">
        <f>IF('Part VI-Revenues &amp; Expenses'!$L$57=0,"",'Part VI-Revenues &amp; Expenses'!$L$57)</f>
        <v>2</v>
      </c>
      <c r="C442" s="717" t="s">
        <v>3101</v>
      </c>
      <c r="D442" s="745" t="s">
        <v>3245</v>
      </c>
    </row>
    <row r="443" spans="1:8" ht="2.1"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4293</v>
      </c>
      <c r="E446" s="4660" t="s">
        <v>3243</v>
      </c>
      <c r="F446" s="4660"/>
      <c r="G446" s="4660"/>
      <c r="H446" s="4660"/>
    </row>
    <row r="447" spans="1:8" ht="12.75" customHeight="1">
      <c r="C447" s="1515"/>
      <c r="D447" s="1512" t="s">
        <v>3104</v>
      </c>
      <c r="E447" s="4664" t="s">
        <v>3244</v>
      </c>
      <c r="F447" s="4664"/>
      <c r="G447" s="4664"/>
      <c r="H447" s="4664"/>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4293</v>
      </c>
      <c r="E451" s="4660" t="s">
        <v>3243</v>
      </c>
      <c r="F451" s="4660"/>
      <c r="G451" s="4660"/>
      <c r="H451" s="4660"/>
    </row>
    <row r="452" spans="1:8" ht="12.75" customHeight="1">
      <c r="C452" s="1515"/>
      <c r="D452" s="1513" t="s">
        <v>3104</v>
      </c>
      <c r="E452" s="4663" t="s">
        <v>3244</v>
      </c>
      <c r="F452" s="4663"/>
      <c r="G452" s="4663"/>
      <c r="H452" s="4663"/>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4293</v>
      </c>
      <c r="E456" s="4660" t="s">
        <v>3243</v>
      </c>
      <c r="F456" s="4660"/>
      <c r="G456" s="4660"/>
      <c r="H456" s="4660"/>
    </row>
    <row r="457" spans="1:8" ht="12.75" customHeight="1">
      <c r="C457" s="1515"/>
      <c r="D457" s="1513" t="s">
        <v>3104</v>
      </c>
      <c r="E457" s="4663" t="s">
        <v>3244</v>
      </c>
      <c r="F457" s="4663"/>
      <c r="G457" s="4663"/>
      <c r="H457" s="4663"/>
    </row>
    <row r="458" spans="1:8" ht="6" customHeight="1">
      <c r="D458" s="746"/>
      <c r="E458" s="1511"/>
      <c r="F458" s="1511"/>
      <c r="G458" s="1511"/>
      <c r="H458" s="1511"/>
    </row>
    <row r="459" spans="1:8">
      <c r="A459" s="717" t="s">
        <v>3100</v>
      </c>
      <c r="B459" s="744">
        <f>IF('Part VI-Revenues &amp; Expenses'!$M$57=0,"",'Part VI-Revenues &amp; Expenses'!$M$57)</f>
        <v>6</v>
      </c>
      <c r="C459" s="717" t="s">
        <v>3102</v>
      </c>
      <c r="D459" s="745" t="s">
        <v>3246</v>
      </c>
    </row>
    <row r="460" spans="1:8" ht="2.1"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4293</v>
      </c>
      <c r="E463" s="4660" t="s">
        <v>3243</v>
      </c>
      <c r="F463" s="4660"/>
      <c r="G463" s="4660"/>
      <c r="H463" s="4660"/>
    </row>
    <row r="464" spans="1:8" ht="12.75" customHeight="1">
      <c r="C464" s="1515"/>
      <c r="D464" s="1512" t="s">
        <v>3104</v>
      </c>
      <c r="E464" s="4664" t="s">
        <v>3244</v>
      </c>
      <c r="F464" s="4664"/>
      <c r="G464" s="4664"/>
      <c r="H464" s="4664"/>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4293</v>
      </c>
      <c r="E468" s="4660" t="s">
        <v>3243</v>
      </c>
      <c r="F468" s="4660"/>
      <c r="G468" s="4660"/>
      <c r="H468" s="4660"/>
    </row>
    <row r="469" spans="1:8" ht="12.75" customHeight="1">
      <c r="C469" s="1515"/>
      <c r="D469" s="1513" t="s">
        <v>3104</v>
      </c>
      <c r="E469" s="4663" t="s">
        <v>3244</v>
      </c>
      <c r="F469" s="4663"/>
      <c r="G469" s="4663"/>
      <c r="H469" s="4663"/>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4293</v>
      </c>
      <c r="E473" s="4660" t="s">
        <v>3243</v>
      </c>
      <c r="F473" s="4660"/>
      <c r="G473" s="4660"/>
      <c r="H473" s="4660"/>
    </row>
    <row r="474" spans="1:8" ht="12.75" customHeight="1">
      <c r="C474" s="1515"/>
      <c r="D474" s="1513" t="s">
        <v>3104</v>
      </c>
      <c r="E474" s="4663" t="s">
        <v>3244</v>
      </c>
      <c r="F474" s="4663"/>
      <c r="G474" s="4663"/>
      <c r="H474" s="4663"/>
    </row>
    <row r="475" spans="1:8" ht="6" customHeight="1">
      <c r="D475" s="746"/>
      <c r="E475" s="1511"/>
      <c r="F475" s="1511"/>
      <c r="G475" s="1511"/>
      <c r="H475" s="1511"/>
    </row>
    <row r="476" spans="1:8">
      <c r="A476" s="717" t="s">
        <v>3100</v>
      </c>
      <c r="B476" s="744">
        <f>IF('Part VI-Revenues &amp; Expenses'!$N$57=0,"",'Part VI-Revenues &amp; Expenses'!$N$57)</f>
        <v>1</v>
      </c>
      <c r="C476" s="717" t="s">
        <v>3103</v>
      </c>
      <c r="D476" s="745" t="s">
        <v>3247</v>
      </c>
    </row>
    <row r="477" spans="1:8" ht="2.1"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4293</v>
      </c>
      <c r="E480" s="4660" t="s">
        <v>3243</v>
      </c>
      <c r="F480" s="4660"/>
      <c r="G480" s="4660"/>
      <c r="H480" s="4660"/>
    </row>
    <row r="481" spans="1:11" ht="12.75" customHeight="1">
      <c r="C481" s="1515"/>
      <c r="D481" s="1512" t="s">
        <v>3104</v>
      </c>
      <c r="E481" s="4664" t="s">
        <v>3244</v>
      </c>
      <c r="F481" s="4664"/>
      <c r="G481" s="4664"/>
      <c r="H481" s="4664"/>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4293</v>
      </c>
      <c r="E485" s="4660" t="s">
        <v>3243</v>
      </c>
      <c r="F485" s="4660"/>
      <c r="G485" s="4660"/>
      <c r="H485" s="4660"/>
    </row>
    <row r="486" spans="1:11" ht="12.75" customHeight="1">
      <c r="C486" s="1515"/>
      <c r="D486" s="1513" t="s">
        <v>3104</v>
      </c>
      <c r="E486" s="4663" t="s">
        <v>3244</v>
      </c>
      <c r="F486" s="4663"/>
      <c r="G486" s="4663"/>
      <c r="H486" s="4663"/>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4293</v>
      </c>
      <c r="E490" s="4660" t="s">
        <v>3243</v>
      </c>
      <c r="F490" s="4660"/>
      <c r="G490" s="4660"/>
      <c r="H490" s="4660"/>
    </row>
    <row r="491" spans="1:11" ht="12.75" customHeight="1">
      <c r="C491" s="1515"/>
      <c r="D491" s="1513" t="s">
        <v>3104</v>
      </c>
      <c r="E491" s="4663" t="s">
        <v>3244</v>
      </c>
      <c r="F491" s="4663"/>
      <c r="G491" s="4663"/>
      <c r="H491" s="4663"/>
    </row>
    <row r="492" spans="1:11" ht="6" customHeight="1">
      <c r="D492" s="746"/>
      <c r="E492" s="1511"/>
      <c r="F492" s="1511"/>
      <c r="G492" s="1511"/>
      <c r="H492" s="1511"/>
    </row>
    <row r="493" spans="1:11">
      <c r="A493" s="717" t="s">
        <v>3100</v>
      </c>
      <c r="B493" s="744" t="str">
        <f>IF('Part VI-Revenues &amp; Expenses'!$O$57=0,"",'Part VI-Revenues &amp; Expenses'!$O$57)</f>
        <v/>
      </c>
      <c r="C493" s="717" t="s">
        <v>4291</v>
      </c>
      <c r="D493" s="745" t="s">
        <v>4292</v>
      </c>
    </row>
    <row r="494" spans="1:11" ht="2.1"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3243</v>
      </c>
      <c r="F497" s="4660"/>
      <c r="G497" s="4660"/>
      <c r="H497" s="4660"/>
    </row>
    <row r="498" spans="1:8" ht="12.75" customHeight="1">
      <c r="D498" s="749" t="s">
        <v>3104</v>
      </c>
      <c r="E498" s="4660" t="s">
        <v>3244</v>
      </c>
      <c r="F498" s="4660"/>
      <c r="G498" s="4660"/>
      <c r="H498" s="4660"/>
    </row>
    <row r="499" spans="1:8" ht="9" customHeight="1" thickBot="1"/>
    <row r="500" spans="1:8" ht="16.350000000000001" customHeight="1" thickBot="1">
      <c r="A500" s="4661">
        <v>80</v>
      </c>
      <c r="B500" s="4662"/>
      <c r="C500" s="1516" t="s">
        <v>1000</v>
      </c>
    </row>
    <row r="501" spans="1:8" ht="9" customHeight="1">
      <c r="A501" s="702"/>
    </row>
    <row r="502" spans="1:8" ht="28.35" customHeight="1">
      <c r="A502" s="4665" t="s">
        <v>4300</v>
      </c>
      <c r="B502" s="4665"/>
      <c r="C502" s="4665"/>
      <c r="D502" s="4665"/>
      <c r="E502" s="4665"/>
      <c r="F502" s="4665"/>
      <c r="G502" s="4665"/>
      <c r="H502" s="4665"/>
    </row>
    <row r="503" spans="1:8" ht="9" customHeight="1">
      <c r="A503" s="702"/>
    </row>
    <row r="504" spans="1:8">
      <c r="A504" s="717" t="s">
        <v>3100</v>
      </c>
      <c r="B504" s="744" t="str">
        <f>IF('Part VI-Revenues &amp; Expenses'!$K$56=0,"",'Part VI-Revenues &amp; Expenses'!$K$56)</f>
        <v/>
      </c>
      <c r="C504" s="717" t="s">
        <v>4288</v>
      </c>
      <c r="D504" s="745" t="s">
        <v>4289</v>
      </c>
    </row>
    <row r="505" spans="1:8" ht="2.1"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4293</v>
      </c>
      <c r="E508" s="4660" t="s">
        <v>3243</v>
      </c>
      <c r="F508" s="4660"/>
      <c r="G508" s="4660"/>
      <c r="H508" s="4660"/>
    </row>
    <row r="509" spans="1:8" ht="12.75" customHeight="1">
      <c r="C509" s="1515"/>
      <c r="D509" s="1513" t="s">
        <v>3104</v>
      </c>
      <c r="E509" s="4663" t="s">
        <v>3244</v>
      </c>
      <c r="F509" s="4663"/>
      <c r="G509" s="4663"/>
      <c r="H509" s="4663"/>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4293</v>
      </c>
      <c r="E513" s="4660" t="s">
        <v>3243</v>
      </c>
      <c r="F513" s="4660"/>
      <c r="G513" s="4660"/>
      <c r="H513" s="4660"/>
    </row>
    <row r="514" spans="1:8" ht="12.75" customHeight="1">
      <c r="C514" s="1515"/>
      <c r="D514" s="1513" t="s">
        <v>3104</v>
      </c>
      <c r="E514" s="4663" t="s">
        <v>3244</v>
      </c>
      <c r="F514" s="4663"/>
      <c r="G514" s="4663"/>
      <c r="H514" s="4663"/>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4293</v>
      </c>
      <c r="E518" s="4660" t="s">
        <v>3243</v>
      </c>
      <c r="F518" s="4660"/>
      <c r="G518" s="4660"/>
      <c r="H518" s="4660"/>
    </row>
    <row r="519" spans="1:8" ht="12.75" customHeight="1">
      <c r="C519" s="1515"/>
      <c r="D519" s="1513" t="s">
        <v>3104</v>
      </c>
      <c r="E519" s="4663" t="s">
        <v>3244</v>
      </c>
      <c r="F519" s="4663"/>
      <c r="G519" s="4663"/>
      <c r="H519" s="4663"/>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2.1"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4293</v>
      </c>
      <c r="E525" s="4660" t="s">
        <v>3243</v>
      </c>
      <c r="F525" s="4660"/>
      <c r="G525" s="4660"/>
      <c r="H525" s="4660"/>
    </row>
    <row r="526" spans="1:8" ht="12.75" customHeight="1">
      <c r="C526" s="1515"/>
      <c r="D526" s="1512" t="s">
        <v>3104</v>
      </c>
      <c r="E526" s="4664" t="s">
        <v>3244</v>
      </c>
      <c r="F526" s="4664"/>
      <c r="G526" s="4664"/>
      <c r="H526" s="4664"/>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4293</v>
      </c>
      <c r="E530" s="4660" t="s">
        <v>3243</v>
      </c>
      <c r="F530" s="4660"/>
      <c r="G530" s="4660"/>
      <c r="H530" s="4660"/>
    </row>
    <row r="531" spans="1:8" ht="12.75" customHeight="1">
      <c r="C531" s="1515"/>
      <c r="D531" s="1513" t="s">
        <v>3104</v>
      </c>
      <c r="E531" s="4663" t="s">
        <v>3244</v>
      </c>
      <c r="F531" s="4663"/>
      <c r="G531" s="4663"/>
      <c r="H531" s="4663"/>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4293</v>
      </c>
      <c r="E535" s="4660" t="s">
        <v>3243</v>
      </c>
      <c r="F535" s="4660"/>
      <c r="G535" s="4660"/>
      <c r="H535" s="4660"/>
    </row>
    <row r="536" spans="1:8" ht="12.75" customHeight="1">
      <c r="C536" s="1515"/>
      <c r="D536" s="1513" t="s">
        <v>3104</v>
      </c>
      <c r="E536" s="4663" t="s">
        <v>3244</v>
      </c>
      <c r="F536" s="4663"/>
      <c r="G536" s="4663"/>
      <c r="H536" s="4663"/>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2.1"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4293</v>
      </c>
      <c r="E542" s="4660" t="s">
        <v>3243</v>
      </c>
      <c r="F542" s="4660"/>
      <c r="G542" s="4660"/>
      <c r="H542" s="4660"/>
    </row>
    <row r="543" spans="1:8" ht="12.75" customHeight="1">
      <c r="C543" s="1515"/>
      <c r="D543" s="1512" t="s">
        <v>3104</v>
      </c>
      <c r="E543" s="4664" t="s">
        <v>3244</v>
      </c>
      <c r="F543" s="4664"/>
      <c r="G543" s="4664"/>
      <c r="H543" s="4664"/>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4293</v>
      </c>
      <c r="E547" s="4660" t="s">
        <v>3243</v>
      </c>
      <c r="F547" s="4660"/>
      <c r="G547" s="4660"/>
      <c r="H547" s="4660"/>
    </row>
    <row r="548" spans="1:8" ht="12.75" customHeight="1">
      <c r="C548" s="1515"/>
      <c r="D548" s="1513" t="s">
        <v>3104</v>
      </c>
      <c r="E548" s="4663" t="s">
        <v>3244</v>
      </c>
      <c r="F548" s="4663"/>
      <c r="G548" s="4663"/>
      <c r="H548" s="4663"/>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4293</v>
      </c>
      <c r="E552" s="4660" t="s">
        <v>3243</v>
      </c>
      <c r="F552" s="4660"/>
      <c r="G552" s="4660"/>
      <c r="H552" s="4660"/>
    </row>
    <row r="553" spans="1:8" ht="12.75" customHeight="1">
      <c r="C553" s="1515"/>
      <c r="D553" s="1513" t="s">
        <v>3104</v>
      </c>
      <c r="E553" s="4663" t="s">
        <v>3244</v>
      </c>
      <c r="F553" s="4663"/>
      <c r="G553" s="4663"/>
      <c r="H553" s="4663"/>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2.1"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4293</v>
      </c>
      <c r="E559" s="4660" t="s">
        <v>3243</v>
      </c>
      <c r="F559" s="4660"/>
      <c r="G559" s="4660"/>
      <c r="H559" s="4660"/>
    </row>
    <row r="560" spans="1:8" ht="12.75" customHeight="1">
      <c r="C560" s="1515"/>
      <c r="D560" s="1512" t="s">
        <v>3104</v>
      </c>
      <c r="E560" s="4664" t="s">
        <v>3244</v>
      </c>
      <c r="F560" s="4664"/>
      <c r="G560" s="4664"/>
      <c r="H560" s="4664"/>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4293</v>
      </c>
      <c r="E564" s="4660" t="s">
        <v>3243</v>
      </c>
      <c r="F564" s="4660"/>
      <c r="G564" s="4660"/>
      <c r="H564" s="4660"/>
    </row>
    <row r="565" spans="1:11" ht="12.75" customHeight="1">
      <c r="C565" s="1515"/>
      <c r="D565" s="1513" t="s">
        <v>3104</v>
      </c>
      <c r="E565" s="4663" t="s">
        <v>3244</v>
      </c>
      <c r="F565" s="4663"/>
      <c r="G565" s="4663"/>
      <c r="H565" s="4663"/>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4293</v>
      </c>
      <c r="E569" s="4660" t="s">
        <v>3243</v>
      </c>
      <c r="F569" s="4660"/>
      <c r="G569" s="4660"/>
      <c r="H569" s="4660"/>
    </row>
    <row r="570" spans="1:11" ht="12.75" customHeight="1">
      <c r="C570" s="1515"/>
      <c r="D570" s="1513" t="s">
        <v>3104</v>
      </c>
      <c r="E570" s="4663" t="s">
        <v>3244</v>
      </c>
      <c r="F570" s="4663"/>
      <c r="G570" s="4663"/>
      <c r="H570" s="4663"/>
    </row>
    <row r="571" spans="1:11" ht="6" customHeight="1">
      <c r="D571" s="746"/>
      <c r="E571" s="1511"/>
      <c r="F571" s="1511"/>
      <c r="G571" s="1511"/>
      <c r="H571" s="1511"/>
    </row>
    <row r="572" spans="1:11">
      <c r="A572" s="717" t="s">
        <v>3100</v>
      </c>
      <c r="B572" s="744" t="str">
        <f>IF('Part VI-Revenues &amp; Expenses'!$O$56=0,"",'Part VI-Revenues &amp; Expenses'!$O$56)</f>
        <v/>
      </c>
      <c r="C572" s="717" t="s">
        <v>4291</v>
      </c>
      <c r="D572" s="745" t="s">
        <v>4292</v>
      </c>
    </row>
    <row r="573" spans="1:11" ht="2.1"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3243</v>
      </c>
      <c r="F576" s="4660"/>
      <c r="G576" s="4660"/>
      <c r="H576" s="4660"/>
    </row>
    <row r="577" spans="4:8" ht="12.75" customHeight="1">
      <c r="D577" s="749" t="s">
        <v>3104</v>
      </c>
      <c r="E577" s="4660" t="s">
        <v>3244</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140625" style="699" customWidth="1"/>
    <col min="4" max="4" width="7.42578125" style="699" customWidth="1"/>
    <col min="5" max="5" width="7.85546875" style="699" customWidth="1"/>
    <col min="6" max="7" width="6.85546875" style="699" customWidth="1"/>
    <col min="8" max="8" width="5" style="699" customWidth="1"/>
    <col min="9" max="10" width="6.85546875" style="699" customWidth="1"/>
    <col min="11" max="11" width="3.140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85546875" style="700" customWidth="1"/>
    <col min="20" max="20" width="5.85546875" style="699" customWidth="1"/>
    <col min="21" max="21" width="3.85546875" style="699" customWidth="1"/>
    <col min="22" max="23" width="5.42578125" style="699" customWidth="1"/>
    <col min="24" max="16384" width="9.140625" style="699"/>
  </cols>
  <sheetData>
    <row r="1" spans="1:14">
      <c r="A1" s="582" t="s">
        <v>3001</v>
      </c>
      <c r="H1" s="708" t="str">
        <f>'Sensitivity Analysis'!C8</f>
        <v>Wagon Works</v>
      </c>
    </row>
    <row r="2" spans="1:14">
      <c r="A2" s="636" t="s">
        <v>3002</v>
      </c>
      <c r="H2" s="699" t="str">
        <f>'Sensitivity Analysis'!E8</f>
        <v>2021-006</v>
      </c>
    </row>
    <row r="3" spans="1:14" ht="3" customHeight="1"/>
    <row r="4" spans="1:14" ht="69.599999999999994" customHeight="1">
      <c r="A4" s="4666" t="s">
        <v>3098</v>
      </c>
      <c r="B4" s="4666"/>
      <c r="C4" s="4666"/>
      <c r="D4" s="4666"/>
      <c r="E4" s="4666"/>
      <c r="F4" s="4666"/>
      <c r="G4" s="4666"/>
      <c r="H4" s="4666"/>
      <c r="I4" s="4666"/>
      <c r="J4" s="4666"/>
      <c r="K4" s="4666"/>
      <c r="L4" s="4708">
        <f>SUM('Part VII-Pro Forma'!B15:B17)/12</f>
        <v>73559.187000000005</v>
      </c>
      <c r="M4" s="4708"/>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6" t="s">
        <v>3004</v>
      </c>
      <c r="D7" s="4666"/>
      <c r="E7" s="4666"/>
      <c r="F7" s="4666"/>
      <c r="G7" s="4666"/>
      <c r="H7" s="4666"/>
      <c r="I7" s="4666"/>
      <c r="J7" s="4666"/>
      <c r="K7" s="4666"/>
      <c r="L7" s="4666"/>
      <c r="M7" s="4666"/>
    </row>
    <row r="8" spans="1:14" ht="3" customHeight="1"/>
    <row r="9" spans="1:14">
      <c r="A9" s="699" t="s">
        <v>3005</v>
      </c>
    </row>
    <row r="10" spans="1:14" ht="1.5" customHeight="1"/>
    <row r="11" spans="1:14" ht="26.25" customHeight="1">
      <c r="A11" s="743" t="s">
        <v>1893</v>
      </c>
      <c r="B11" s="4666" t="s">
        <v>3095</v>
      </c>
      <c r="C11" s="4666"/>
      <c r="D11" s="4666"/>
      <c r="E11" s="4666"/>
      <c r="F11" s="4666"/>
      <c r="G11" s="4666"/>
      <c r="H11" s="4666"/>
      <c r="I11" s="4666"/>
      <c r="J11" s="4666"/>
      <c r="K11" s="4666"/>
      <c r="L11" s="4667">
        <f>'Part III-Sources of Funds'!I51+'Part III-Sources of Funds'!I52</f>
        <v>14999100</v>
      </c>
      <c r="M11" s="4667"/>
    </row>
    <row r="12" spans="1:14" ht="1.5" customHeight="1">
      <c r="G12" s="712"/>
      <c r="H12" s="712"/>
    </row>
    <row r="13" spans="1:14" ht="26.1" customHeight="1">
      <c r="A13" s="743" t="s">
        <v>1895</v>
      </c>
      <c r="B13" s="4666" t="s">
        <v>3096</v>
      </c>
      <c r="C13" s="4666"/>
      <c r="D13" s="4666"/>
      <c r="E13" s="4666"/>
      <c r="F13" s="4666"/>
      <c r="G13" s="4666"/>
      <c r="H13" s="4666"/>
      <c r="I13" s="4666"/>
      <c r="J13" s="4666"/>
      <c r="K13" s="4666"/>
      <c r="L13" s="4668" t="s">
        <v>2933</v>
      </c>
      <c r="M13" s="4668"/>
    </row>
    <row r="14" spans="1:14">
      <c r="A14" s="743"/>
      <c r="B14" s="4483"/>
      <c r="C14" s="4483"/>
      <c r="D14" s="4483"/>
      <c r="E14" s="4483"/>
      <c r="F14" s="4483"/>
      <c r="G14" s="4483"/>
      <c r="H14" s="4483"/>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83" t="s">
        <v>2625</v>
      </c>
      <c r="M18" s="4483"/>
    </row>
    <row r="19" spans="1:19" ht="12" hidden="1" customHeight="1">
      <c r="B19" s="4483"/>
      <c r="C19" s="4483"/>
      <c r="D19" s="4483"/>
      <c r="E19" s="4483"/>
      <c r="F19" s="4483"/>
      <c r="G19" s="4483"/>
      <c r="H19" s="4483"/>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1" t="s">
        <v>4290</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2</v>
      </c>
      <c r="G26" s="1658">
        <f>'Part VI-Revenues &amp; Expenses'!M57</f>
        <v>6</v>
      </c>
      <c r="H26" s="1658">
        <f>'Part VI-Revenues &amp; Expenses'!N57</f>
        <v>1</v>
      </c>
      <c r="I26" s="1658">
        <f>'Part VI-Revenues &amp; Expenses'!O57</f>
        <v>0</v>
      </c>
      <c r="J26" s="1659">
        <f>'Part VI-Revenues &amp; Expenses'!P57</f>
        <v>9</v>
      </c>
    </row>
    <row r="27" spans="1:19" s="498" customFormat="1" ht="15" customHeight="1">
      <c r="C27" s="1653" t="s">
        <v>1107</v>
      </c>
      <c r="D27" s="1645"/>
      <c r="E27" s="1657">
        <f>'Part VI-Revenues &amp; Expenses'!K58</f>
        <v>0</v>
      </c>
      <c r="F27" s="1658">
        <f>'Part VI-Revenues &amp; Expenses'!L58</f>
        <v>8</v>
      </c>
      <c r="G27" s="1658">
        <f>'Part VI-Revenues &amp; Expenses'!M58</f>
        <v>42</v>
      </c>
      <c r="H27" s="1658">
        <f>'Part VI-Revenues &amp; Expenses'!N58</f>
        <v>3</v>
      </c>
      <c r="I27" s="1658">
        <f>'Part VI-Revenues &amp; Expenses'!O58</f>
        <v>0</v>
      </c>
      <c r="J27" s="1659">
        <f>'Part VI-Revenues &amp; Expenses'!P58</f>
        <v>53</v>
      </c>
    </row>
    <row r="28" spans="1:19" s="498" customFormat="1" ht="15" customHeight="1">
      <c r="C28" s="1653" t="s">
        <v>111</v>
      </c>
      <c r="D28" s="1645"/>
      <c r="E28" s="1657">
        <f>'Part VI-Revenues &amp; Expenses'!K59</f>
        <v>0</v>
      </c>
      <c r="F28" s="1658">
        <f>'Part VI-Revenues &amp; Expenses'!L59</f>
        <v>4</v>
      </c>
      <c r="G28" s="1658">
        <f>'Part VI-Revenues &amp; Expenses'!M59</f>
        <v>21</v>
      </c>
      <c r="H28" s="1658">
        <f>'Part VI-Revenues &amp; Expenses'!N59</f>
        <v>2</v>
      </c>
      <c r="I28" s="1658">
        <f>'Part VI-Revenues &amp; Expenses'!O59</f>
        <v>0</v>
      </c>
      <c r="J28" s="1659">
        <f>'Part VI-Revenues &amp; Expenses'!P59</f>
        <v>27</v>
      </c>
    </row>
    <row r="29" spans="1:19" s="498" customFormat="1" ht="13.3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3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3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35" customHeight="1">
      <c r="C32" s="1645" t="s">
        <v>513</v>
      </c>
      <c r="D32" s="1645"/>
      <c r="E32" s="1660">
        <f>'Part VI-Revenues &amp; Expenses'!K63</f>
        <v>0</v>
      </c>
      <c r="F32" s="1651">
        <f>'Part VI-Revenues &amp; Expenses'!L63</f>
        <v>14</v>
      </c>
      <c r="G32" s="1651">
        <f>'Part VI-Revenues &amp; Expenses'!M63</f>
        <v>69</v>
      </c>
      <c r="H32" s="1651">
        <f>'Part VI-Revenues &amp; Expenses'!N63</f>
        <v>6</v>
      </c>
      <c r="I32" s="1651">
        <f>'Part VI-Revenues &amp; Expenses'!O63</f>
        <v>0</v>
      </c>
      <c r="J32" s="1661">
        <f>'Part VI-Revenues &amp; Expenses'!P63</f>
        <v>89</v>
      </c>
    </row>
    <row r="33" spans="1:12" s="498" customFormat="1" ht="13.35" customHeight="1" thickBot="1">
      <c r="K33" s="1638"/>
    </row>
    <row r="34" spans="1:12" s="498" customFormat="1" ht="14.25" customHeight="1" thickBot="1">
      <c r="A34" s="1638"/>
      <c r="B34" s="4682" t="s">
        <v>6421</v>
      </c>
      <c r="E34" s="4683" t="s">
        <v>6276</v>
      </c>
      <c r="F34" s="4684"/>
      <c r="G34" s="4684"/>
      <c r="H34" s="4684"/>
      <c r="I34" s="4684"/>
      <c r="J34" s="4684"/>
      <c r="K34" s="4684"/>
      <c r="L34" s="4685"/>
    </row>
    <row r="35" spans="1:12" s="498" customFormat="1" ht="14.25" customHeight="1">
      <c r="A35" s="1638"/>
      <c r="B35" s="4682"/>
      <c r="C35" s="4686" t="s">
        <v>6422</v>
      </c>
      <c r="D35" s="4682" t="s">
        <v>6423</v>
      </c>
      <c r="E35" s="4687" t="s">
        <v>6279</v>
      </c>
      <c r="F35" s="4688"/>
      <c r="G35" s="4691" t="s">
        <v>1304</v>
      </c>
      <c r="H35" s="4693" t="s">
        <v>6275</v>
      </c>
      <c r="I35" s="4694"/>
      <c r="J35" s="4694"/>
      <c r="K35" s="4694"/>
      <c r="L35" s="4695"/>
    </row>
    <row r="36" spans="1:12" s="498" customFormat="1" ht="23.25" customHeight="1">
      <c r="A36" s="4686" t="s">
        <v>1000</v>
      </c>
      <c r="B36" s="4682"/>
      <c r="C36" s="4686"/>
      <c r="D36" s="4682"/>
      <c r="E36" s="4689"/>
      <c r="F36" s="4690"/>
      <c r="G36" s="4692"/>
      <c r="H36" s="4696" t="s">
        <v>6277</v>
      </c>
      <c r="I36" s="4697"/>
      <c r="J36" s="4700" t="s">
        <v>1304</v>
      </c>
      <c r="K36" s="4697" t="s">
        <v>6278</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35" customHeight="1">
      <c r="A39" s="1642">
        <f>'Part VI-Revenues &amp; Expenses'!B18</f>
        <v>50</v>
      </c>
      <c r="B39" s="1643">
        <f>'Part VI-Revenues &amp; Expenses'!E18</f>
        <v>4</v>
      </c>
      <c r="C39" s="1644" t="str">
        <f>_xlfn.CONCAT('Part VI-Revenues &amp; Expenses'!C18," / ",'Part VI-Revenues &amp; Expenses'!D18)</f>
        <v>1 / 1</v>
      </c>
      <c r="D39" s="1643">
        <f>'Part VI-Revenues &amp; Expenses'!F18</f>
        <v>750</v>
      </c>
      <c r="E39" s="4706">
        <f>'Part VI-Revenues &amp; Expenses'!H18</f>
        <v>753</v>
      </c>
      <c r="F39" s="4707"/>
      <c r="G39" s="1645"/>
      <c r="H39" s="4675"/>
      <c r="I39" s="4676"/>
      <c r="J39" s="4676"/>
      <c r="K39" s="4676"/>
      <c r="L39" s="4677"/>
    </row>
    <row r="40" spans="1:12" s="498" customFormat="1" ht="13.35" customHeight="1">
      <c r="A40" s="1646">
        <f>'Part VI-Revenues &amp; Expenses'!B19</f>
        <v>50</v>
      </c>
      <c r="B40" s="1647">
        <f>'Part VI-Revenues &amp; Expenses'!E19</f>
        <v>21</v>
      </c>
      <c r="C40" s="1648" t="str">
        <f>_xlfn.CONCAT('Part VI-Revenues &amp; Expenses'!C19," / ",'Part VI-Revenues &amp; Expenses'!D19)</f>
        <v>2 / 1</v>
      </c>
      <c r="D40" s="1647">
        <f>'Part VI-Revenues &amp; Expenses'!F19</f>
        <v>950</v>
      </c>
      <c r="E40" s="4673">
        <f>'Part VI-Revenues &amp; Expenses'!H19</f>
        <v>903</v>
      </c>
      <c r="F40" s="4674"/>
      <c r="G40" s="1645"/>
      <c r="H40" s="4670"/>
      <c r="I40" s="4671"/>
      <c r="J40" s="4671"/>
      <c r="K40" s="4671"/>
      <c r="L40" s="4672"/>
    </row>
    <row r="41" spans="1:12" s="498" customFormat="1" ht="13.35" customHeight="1">
      <c r="A41" s="1646">
        <f>'Part VI-Revenues &amp; Expenses'!B20</f>
        <v>50</v>
      </c>
      <c r="B41" s="1647">
        <f>'Part VI-Revenues &amp; Expenses'!E20</f>
        <v>2</v>
      </c>
      <c r="C41" s="1648" t="str">
        <f>_xlfn.CONCAT('Part VI-Revenues &amp; Expenses'!C20," / ",'Part VI-Revenues &amp; Expenses'!D20)</f>
        <v>3 / 2</v>
      </c>
      <c r="D41" s="1647">
        <f>'Part VI-Revenues &amp; Expenses'!F20</f>
        <v>1150</v>
      </c>
      <c r="E41" s="4673">
        <f>'Part VI-Revenues &amp; Expenses'!H20</f>
        <v>1040</v>
      </c>
      <c r="F41" s="4674"/>
      <c r="G41" s="1645"/>
      <c r="H41" s="4670"/>
      <c r="I41" s="4671"/>
      <c r="J41" s="4671"/>
      <c r="K41" s="4671"/>
      <c r="L41" s="4672"/>
    </row>
    <row r="42" spans="1:12" s="498" customFormat="1" ht="13.35" customHeight="1">
      <c r="A42" s="1646">
        <f>'Part VI-Revenues &amp; Expenses'!B21</f>
        <v>60</v>
      </c>
      <c r="B42" s="1647">
        <f>'Part VI-Revenues &amp; Expenses'!E21</f>
        <v>8</v>
      </c>
      <c r="C42" s="1648" t="str">
        <f>_xlfn.CONCAT('Part VI-Revenues &amp; Expenses'!C21," / ",'Part VI-Revenues &amp; Expenses'!D21)</f>
        <v>1 / 1</v>
      </c>
      <c r="D42" s="1647">
        <f>'Part VI-Revenues &amp; Expenses'!F21</f>
        <v>750</v>
      </c>
      <c r="E42" s="4673">
        <f>'Part VI-Revenues &amp; Expenses'!H21</f>
        <v>908</v>
      </c>
      <c r="F42" s="4674"/>
      <c r="G42" s="1645"/>
      <c r="H42" s="4670"/>
      <c r="I42" s="4671"/>
      <c r="J42" s="4671"/>
      <c r="K42" s="4671"/>
      <c r="L42" s="4672"/>
    </row>
    <row r="43" spans="1:12" s="498" customFormat="1" ht="13.35" customHeight="1">
      <c r="A43" s="1646">
        <f>'Part VI-Revenues &amp; Expenses'!B22</f>
        <v>60</v>
      </c>
      <c r="B43" s="1647">
        <f>'Part VI-Revenues &amp; Expenses'!E22</f>
        <v>42</v>
      </c>
      <c r="C43" s="1648" t="str">
        <f>_xlfn.CONCAT('Part VI-Revenues &amp; Expenses'!C22," / ",'Part VI-Revenues &amp; Expenses'!D22)</f>
        <v>2 / 1</v>
      </c>
      <c r="D43" s="1647">
        <f>'Part VI-Revenues &amp; Expenses'!F22</f>
        <v>950</v>
      </c>
      <c r="E43" s="4673">
        <f>'Part VI-Revenues &amp; Expenses'!H22</f>
        <v>1089</v>
      </c>
      <c r="F43" s="4674"/>
      <c r="G43" s="1645"/>
      <c r="H43" s="4670"/>
      <c r="I43" s="4671"/>
      <c r="J43" s="4671"/>
      <c r="K43" s="4671"/>
      <c r="L43" s="4672"/>
    </row>
    <row r="44" spans="1:12" s="498" customFormat="1" ht="13.35" customHeight="1">
      <c r="A44" s="1646">
        <f>'Part VI-Revenues &amp; Expenses'!B23</f>
        <v>60</v>
      </c>
      <c r="B44" s="1647">
        <f>'Part VI-Revenues &amp; Expenses'!E23</f>
        <v>3</v>
      </c>
      <c r="C44" s="1648" t="str">
        <f>_xlfn.CONCAT('Part VI-Revenues &amp; Expenses'!C23," / ",'Part VI-Revenues &amp; Expenses'!D23)</f>
        <v>3 / 2</v>
      </c>
      <c r="D44" s="1647">
        <f>'Part VI-Revenues &amp; Expenses'!F23</f>
        <v>1150</v>
      </c>
      <c r="E44" s="4673">
        <f>'Part VI-Revenues &amp; Expenses'!H23</f>
        <v>1255</v>
      </c>
      <c r="F44" s="4674"/>
      <c r="G44" s="1645"/>
      <c r="H44" s="4670"/>
      <c r="I44" s="4671"/>
      <c r="J44" s="4671"/>
      <c r="K44" s="4671"/>
      <c r="L44" s="4672"/>
    </row>
    <row r="45" spans="1:12" s="498" customFormat="1" ht="13.35" customHeight="1">
      <c r="A45" s="1646">
        <f>'Part VI-Revenues &amp; Expenses'!B24</f>
        <v>70</v>
      </c>
      <c r="B45" s="1647">
        <f>'Part VI-Revenues &amp; Expenses'!E24</f>
        <v>2</v>
      </c>
      <c r="C45" s="1648" t="str">
        <f>_xlfn.CONCAT('Part VI-Revenues &amp; Expenses'!C24," / ",'Part VI-Revenues &amp; Expenses'!D24)</f>
        <v>1 / 1</v>
      </c>
      <c r="D45" s="1647">
        <f>'Part VI-Revenues &amp; Expenses'!F24</f>
        <v>750</v>
      </c>
      <c r="E45" s="4673">
        <f>'Part VI-Revenues &amp; Expenses'!H24</f>
        <v>1063</v>
      </c>
      <c r="F45" s="4674"/>
      <c r="G45" s="1645"/>
      <c r="H45" s="4670"/>
      <c r="I45" s="4671"/>
      <c r="J45" s="4671"/>
      <c r="K45" s="4671"/>
      <c r="L45" s="4672"/>
    </row>
    <row r="46" spans="1:12" s="498" customFormat="1" ht="13.35" customHeight="1">
      <c r="A46" s="1646">
        <f>'Part VI-Revenues &amp; Expenses'!B25</f>
        <v>70</v>
      </c>
      <c r="B46" s="1647">
        <f>'Part VI-Revenues &amp; Expenses'!E25</f>
        <v>6</v>
      </c>
      <c r="C46" s="1648" t="str">
        <f>_xlfn.CONCAT('Part VI-Revenues &amp; Expenses'!C25," / ",'Part VI-Revenues &amp; Expenses'!D25)</f>
        <v>2 / 1</v>
      </c>
      <c r="D46" s="1647">
        <f>'Part VI-Revenues &amp; Expenses'!F25</f>
        <v>950</v>
      </c>
      <c r="E46" s="4673">
        <f>'Part VI-Revenues &amp; Expenses'!H25</f>
        <v>1275</v>
      </c>
      <c r="F46" s="4674"/>
      <c r="G46" s="1645"/>
      <c r="H46" s="4670"/>
      <c r="I46" s="4671"/>
      <c r="J46" s="4671"/>
      <c r="K46" s="4671"/>
      <c r="L46" s="4672"/>
    </row>
    <row r="47" spans="1:12" s="498" customFormat="1" ht="13.35" customHeight="1">
      <c r="A47" s="1646">
        <f>'Part VI-Revenues &amp; Expenses'!B26</f>
        <v>70</v>
      </c>
      <c r="B47" s="1647">
        <f>'Part VI-Revenues &amp; Expenses'!E26</f>
        <v>1</v>
      </c>
      <c r="C47" s="1648" t="str">
        <f>_xlfn.CONCAT('Part VI-Revenues &amp; Expenses'!C26," / ",'Part VI-Revenues &amp; Expenses'!D26)</f>
        <v>3 / 2</v>
      </c>
      <c r="D47" s="1647">
        <f>'Part VI-Revenues &amp; Expenses'!F26</f>
        <v>1150</v>
      </c>
      <c r="E47" s="4673">
        <f>'Part VI-Revenues &amp; Expenses'!H26</f>
        <v>1470</v>
      </c>
      <c r="F47" s="4674"/>
      <c r="G47" s="1645"/>
      <c r="H47" s="4670"/>
      <c r="I47" s="4671"/>
      <c r="J47" s="4671"/>
      <c r="K47" s="4671"/>
      <c r="L47" s="4672"/>
    </row>
    <row r="48" spans="1:12" s="498" customFormat="1" ht="13.3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3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3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3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3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3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3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3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3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3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3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3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3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3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3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3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3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3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3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3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3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3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35" customHeight="1">
      <c r="C70" s="1638"/>
      <c r="F70" s="1640"/>
      <c r="G70" s="1640"/>
      <c r="H70" s="1640"/>
      <c r="I70" s="1640"/>
      <c r="J70" s="1640"/>
      <c r="K70" s="1641"/>
      <c r="L70" s="1640"/>
      <c r="M70" s="1640"/>
    </row>
    <row r="71" spans="1:19" s="498" customFormat="1" ht="13.35" customHeight="1">
      <c r="C71" s="1638"/>
      <c r="F71" s="1640"/>
      <c r="G71" s="1640"/>
      <c r="H71" s="1640"/>
      <c r="I71" s="1640"/>
      <c r="J71" s="1640"/>
      <c r="K71" s="1641"/>
      <c r="L71" s="1640"/>
      <c r="M71" s="1640"/>
    </row>
    <row r="72" spans="1:19" s="498" customFormat="1" ht="13.35" customHeight="1">
      <c r="C72" s="1638"/>
      <c r="F72" s="1640"/>
      <c r="G72" s="1640"/>
      <c r="H72" s="1640"/>
      <c r="I72" s="1640"/>
      <c r="J72" s="1640"/>
      <c r="K72" s="1641"/>
      <c r="L72" s="1640"/>
      <c r="M72" s="1640"/>
    </row>
    <row r="73" spans="1:19" s="498" customFormat="1" ht="13.35" customHeight="1">
      <c r="C73" s="1638"/>
      <c r="F73" s="1640"/>
      <c r="G73" s="1640"/>
      <c r="H73" s="1640"/>
      <c r="I73" s="1640"/>
      <c r="J73" s="1640"/>
      <c r="K73" s="1641"/>
      <c r="L73" s="1640"/>
      <c r="M73" s="1640"/>
    </row>
    <row r="74" spans="1:19" ht="13.35" customHeight="1">
      <c r="C74" s="1567"/>
      <c r="F74" s="1531"/>
      <c r="G74" s="1531"/>
      <c r="H74" s="1531"/>
      <c r="I74" s="1531"/>
      <c r="J74" s="1531"/>
      <c r="K74" s="1566"/>
      <c r="L74" s="1531"/>
      <c r="M74" s="1531"/>
      <c r="S74" s="699"/>
    </row>
    <row r="75" spans="1:19" ht="13.35" customHeight="1">
      <c r="C75" s="1567"/>
      <c r="F75" s="1531"/>
      <c r="G75" s="1531"/>
      <c r="H75" s="1531"/>
      <c r="I75" s="1531"/>
      <c r="J75" s="1531"/>
      <c r="K75" s="1566"/>
      <c r="L75" s="1531"/>
      <c r="M75" s="1531"/>
      <c r="S75" s="699"/>
    </row>
    <row r="76" spans="1:19" ht="13.35" customHeight="1">
      <c r="C76" s="1567"/>
      <c r="F76" s="1531"/>
      <c r="G76" s="1531"/>
      <c r="H76" s="1531"/>
      <c r="I76" s="1531"/>
      <c r="J76" s="1531"/>
      <c r="K76" s="1566"/>
      <c r="L76" s="1531"/>
      <c r="M76" s="1531"/>
      <c r="S76" s="699"/>
    </row>
    <row r="77" spans="1:19" ht="13.35" customHeight="1">
      <c r="C77" s="1567"/>
      <c r="F77" s="1531"/>
      <c r="G77" s="1531"/>
      <c r="H77" s="1531"/>
      <c r="I77" s="1531"/>
      <c r="J77" s="1531"/>
      <c r="K77" s="1566"/>
      <c r="L77" s="1531"/>
      <c r="M77" s="1531"/>
      <c r="S77" s="699"/>
    </row>
    <row r="78" spans="1:19" ht="13.35" customHeight="1">
      <c r="C78" s="1567"/>
      <c r="F78" s="1531"/>
      <c r="G78" s="1531"/>
      <c r="H78" s="1531"/>
      <c r="I78" s="1531"/>
      <c r="J78" s="1531"/>
      <c r="K78" s="1566"/>
      <c r="L78" s="1531"/>
      <c r="M78" s="1531"/>
      <c r="S78" s="699"/>
    </row>
    <row r="79" spans="1:19" ht="13.35" customHeight="1">
      <c r="C79" s="1567"/>
      <c r="F79" s="1531"/>
      <c r="G79" s="1531"/>
      <c r="H79" s="1531"/>
      <c r="I79" s="1531"/>
      <c r="J79" s="1531"/>
      <c r="K79" s="1566"/>
      <c r="L79" s="1531"/>
      <c r="M79" s="1531"/>
      <c r="S79" s="699"/>
    </row>
    <row r="80" spans="1:19" ht="13.35" customHeight="1">
      <c r="C80" s="1567"/>
      <c r="F80" s="1531"/>
      <c r="G80" s="1531"/>
      <c r="H80" s="1531"/>
      <c r="I80" s="1531"/>
      <c r="J80" s="1531"/>
      <c r="K80" s="1566"/>
      <c r="L80" s="1531"/>
      <c r="M80" s="1531"/>
      <c r="S80" s="699"/>
    </row>
    <row r="81" spans="3:19" ht="13.35" customHeight="1">
      <c r="C81" s="1567"/>
      <c r="F81" s="1531"/>
      <c r="G81" s="1531"/>
      <c r="H81" s="1531"/>
      <c r="I81" s="1531"/>
      <c r="J81" s="1531"/>
      <c r="K81" s="1566"/>
      <c r="L81" s="1531"/>
      <c r="M81" s="1531"/>
      <c r="S81" s="699"/>
    </row>
    <row r="82" spans="3:19" ht="13.35" customHeight="1">
      <c r="C82" s="1567"/>
      <c r="F82" s="1531"/>
      <c r="G82" s="1531"/>
      <c r="H82" s="1531"/>
      <c r="I82" s="1531"/>
      <c r="J82" s="1531"/>
      <c r="K82" s="1566"/>
      <c r="L82" s="1531"/>
      <c r="M82" s="1531"/>
      <c r="S82" s="699"/>
    </row>
    <row r="83" spans="3:19" ht="13.35" customHeight="1">
      <c r="C83" s="1567"/>
      <c r="F83" s="1531"/>
      <c r="G83" s="1531"/>
      <c r="H83" s="1531"/>
      <c r="I83" s="1531"/>
      <c r="J83" s="1531"/>
      <c r="K83" s="1566"/>
      <c r="L83" s="1531"/>
      <c r="M83" s="1531"/>
      <c r="S83" s="699"/>
    </row>
    <row r="84" spans="3:19" ht="13.35" customHeight="1">
      <c r="C84" s="1567"/>
      <c r="F84" s="1531"/>
      <c r="G84" s="1531"/>
      <c r="H84" s="1531"/>
      <c r="I84" s="1531"/>
      <c r="J84" s="1531"/>
      <c r="K84" s="1566"/>
      <c r="L84" s="1531"/>
      <c r="M84" s="1531"/>
      <c r="S84" s="699"/>
    </row>
    <row r="85" spans="3:19" ht="13.35" customHeight="1">
      <c r="C85" s="1567"/>
      <c r="F85" s="1531"/>
      <c r="G85" s="1531"/>
      <c r="H85" s="1531"/>
      <c r="I85" s="1531"/>
      <c r="J85" s="1531"/>
      <c r="K85" s="1566"/>
      <c r="L85" s="1531"/>
      <c r="M85" s="1531"/>
      <c r="S85" s="699"/>
    </row>
    <row r="86" spans="3:19" ht="13.35" customHeight="1">
      <c r="C86" s="1567"/>
      <c r="F86" s="1531"/>
      <c r="G86" s="1531"/>
      <c r="H86" s="1531"/>
      <c r="I86" s="1531"/>
      <c r="J86" s="1531"/>
      <c r="K86" s="1566"/>
      <c r="L86" s="1531"/>
      <c r="M86" s="1531"/>
      <c r="S86" s="699"/>
    </row>
    <row r="87" spans="3:19" ht="13.35" customHeight="1">
      <c r="C87" s="1567"/>
      <c r="F87" s="1531"/>
      <c r="G87" s="1531"/>
      <c r="H87" s="1531"/>
      <c r="I87" s="1531"/>
      <c r="J87" s="1531"/>
      <c r="K87" s="1566"/>
      <c r="L87" s="1531"/>
      <c r="M87" s="1531"/>
      <c r="S87" s="699"/>
    </row>
    <row r="88" spans="3:19" ht="13.35" customHeight="1">
      <c r="C88" s="1567"/>
      <c r="F88" s="1531"/>
      <c r="G88" s="1531"/>
      <c r="H88" s="1531"/>
      <c r="I88" s="1531"/>
      <c r="J88" s="1531"/>
      <c r="K88" s="1566"/>
      <c r="L88" s="1531"/>
      <c r="M88" s="1531"/>
      <c r="S88" s="699"/>
    </row>
    <row r="89" spans="3:19" ht="13.35" customHeight="1">
      <c r="C89" s="1567"/>
      <c r="F89" s="1531"/>
      <c r="G89" s="1531"/>
      <c r="H89" s="1531"/>
      <c r="I89" s="1531"/>
      <c r="J89" s="1531"/>
      <c r="K89" s="1566"/>
      <c r="L89" s="1531"/>
      <c r="M89" s="1531"/>
      <c r="S89" s="699"/>
    </row>
    <row r="90" spans="3:19" ht="13.35" customHeight="1">
      <c r="C90" s="1567"/>
      <c r="F90" s="1531"/>
      <c r="G90" s="1531"/>
      <c r="H90" s="1531"/>
      <c r="I90" s="1531"/>
      <c r="J90" s="1531"/>
      <c r="K90" s="1566"/>
      <c r="L90" s="1531"/>
      <c r="M90" s="1531"/>
      <c r="S90" s="699"/>
    </row>
    <row r="91" spans="3:19" ht="13.35" customHeight="1">
      <c r="C91" s="1567"/>
      <c r="F91" s="1531"/>
      <c r="G91" s="1531"/>
      <c r="H91" s="1531"/>
      <c r="I91" s="1531"/>
      <c r="J91" s="1531"/>
      <c r="K91" s="1566"/>
      <c r="L91" s="1531"/>
      <c r="M91" s="1531"/>
      <c r="S91" s="699"/>
    </row>
    <row r="92" spans="3:19" ht="13.35" customHeight="1">
      <c r="C92" s="1567"/>
      <c r="F92" s="1531"/>
      <c r="G92" s="1531"/>
      <c r="H92" s="1531"/>
      <c r="I92" s="1531"/>
      <c r="J92" s="1531"/>
      <c r="K92" s="1566"/>
      <c r="L92" s="1531"/>
      <c r="M92" s="1531"/>
      <c r="S92" s="699"/>
    </row>
    <row r="93" spans="3:19" ht="13.35" customHeight="1">
      <c r="C93" s="1567"/>
      <c r="F93" s="1531"/>
      <c r="G93" s="1531"/>
      <c r="H93" s="1531"/>
      <c r="I93" s="1531"/>
      <c r="J93" s="1531"/>
      <c r="K93" s="1566"/>
      <c r="L93" s="1531"/>
      <c r="M93" s="1531"/>
      <c r="S93" s="699"/>
    </row>
    <row r="94" spans="3:19" ht="13.35" customHeight="1">
      <c r="C94" s="1567"/>
      <c r="F94" s="1531"/>
      <c r="G94" s="1531"/>
      <c r="H94" s="1531"/>
      <c r="I94" s="1531"/>
      <c r="J94" s="1531"/>
      <c r="K94" s="1566"/>
      <c r="L94" s="1531"/>
      <c r="M94" s="1531"/>
      <c r="S94" s="699"/>
    </row>
    <row r="95" spans="3:19" ht="13.35" customHeight="1">
      <c r="C95" s="1567"/>
      <c r="F95" s="1531"/>
      <c r="G95" s="1531"/>
      <c r="H95" s="1531"/>
      <c r="I95" s="1531"/>
      <c r="J95" s="1531"/>
      <c r="K95" s="1566"/>
      <c r="L95" s="1531"/>
      <c r="M95" s="1531"/>
      <c r="S95" s="699"/>
    </row>
    <row r="96" spans="3:19" ht="13.35" customHeight="1">
      <c r="C96" s="1567"/>
      <c r="F96" s="1531"/>
      <c r="G96" s="1531"/>
      <c r="H96" s="1531"/>
      <c r="I96" s="1531"/>
      <c r="J96" s="1531"/>
      <c r="K96" s="1566"/>
      <c r="L96" s="1531"/>
      <c r="M96" s="1531"/>
      <c r="S96" s="699"/>
    </row>
    <row r="97" spans="3:19" ht="13.35" customHeight="1">
      <c r="C97" s="1567"/>
      <c r="F97" s="1531"/>
      <c r="G97" s="1531"/>
      <c r="H97" s="1531"/>
      <c r="I97" s="1531"/>
      <c r="J97" s="1531"/>
      <c r="K97" s="1566"/>
      <c r="L97" s="1531"/>
      <c r="M97" s="1531"/>
      <c r="S97" s="699"/>
    </row>
    <row r="98" spans="3:19" ht="13.35" customHeight="1">
      <c r="C98" s="1567"/>
      <c r="F98" s="1531"/>
      <c r="G98" s="1531"/>
      <c r="H98" s="1531"/>
      <c r="I98" s="1531"/>
      <c r="J98" s="1531"/>
      <c r="K98" s="1566"/>
      <c r="L98" s="1531"/>
      <c r="M98" s="1531"/>
      <c r="S98" s="699"/>
    </row>
    <row r="99" spans="3:19" ht="13.35" customHeight="1">
      <c r="C99" s="1567"/>
      <c r="F99" s="1531"/>
      <c r="G99" s="1531"/>
      <c r="H99" s="1531"/>
      <c r="I99" s="1531"/>
      <c r="J99" s="1531"/>
      <c r="K99" s="1566"/>
      <c r="L99" s="1531"/>
      <c r="M99" s="1531"/>
      <c r="S99" s="699"/>
    </row>
    <row r="100" spans="3:19" ht="13.35" customHeight="1">
      <c r="C100" s="1567"/>
      <c r="F100" s="1531"/>
      <c r="G100" s="1531"/>
      <c r="H100" s="1531"/>
      <c r="I100" s="1531"/>
      <c r="J100" s="1531"/>
      <c r="K100" s="1566"/>
      <c r="L100" s="1531"/>
      <c r="M100" s="1531"/>
      <c r="S100" s="699"/>
    </row>
    <row r="101" spans="3:19" ht="13.35" customHeight="1">
      <c r="C101" s="1567"/>
      <c r="F101" s="1531"/>
      <c r="G101" s="1531"/>
      <c r="H101" s="1531"/>
      <c r="I101" s="1531"/>
      <c r="J101" s="1531"/>
      <c r="K101" s="1566"/>
      <c r="L101" s="1531"/>
      <c r="M101" s="1531"/>
      <c r="S101" s="699"/>
    </row>
    <row r="102" spans="3:19" ht="13.35" customHeight="1">
      <c r="C102" s="1567"/>
      <c r="F102" s="1531"/>
      <c r="G102" s="1531"/>
      <c r="H102" s="1531"/>
      <c r="I102" s="1531"/>
      <c r="J102" s="1531"/>
      <c r="K102" s="1566"/>
      <c r="L102" s="1531"/>
      <c r="M102" s="1531"/>
      <c r="S102" s="699"/>
    </row>
    <row r="103" spans="3:19" ht="13.35" customHeight="1">
      <c r="C103" s="1567"/>
      <c r="F103" s="1531"/>
      <c r="G103" s="1531"/>
      <c r="H103" s="1531"/>
      <c r="I103" s="1531"/>
      <c r="J103" s="1531"/>
      <c r="K103" s="1566"/>
      <c r="L103" s="1531"/>
      <c r="M103" s="1531"/>
      <c r="S103" s="699"/>
    </row>
    <row r="104" spans="3:19" ht="13.35" customHeight="1">
      <c r="C104" s="1567"/>
      <c r="F104" s="1531"/>
      <c r="G104" s="1531"/>
      <c r="H104" s="1531"/>
      <c r="I104" s="1531"/>
      <c r="J104" s="1531"/>
      <c r="K104" s="1566"/>
      <c r="L104" s="1531"/>
      <c r="M104" s="1531"/>
      <c r="S104" s="699"/>
    </row>
    <row r="105" spans="3:19" ht="13.35" customHeight="1">
      <c r="C105" s="1567"/>
      <c r="F105" s="1531"/>
      <c r="G105" s="1531"/>
      <c r="H105" s="1531"/>
      <c r="I105" s="1531"/>
      <c r="J105" s="1531"/>
      <c r="K105" s="1566"/>
      <c r="L105" s="1531"/>
      <c r="M105" s="1531"/>
      <c r="S105" s="699"/>
    </row>
    <row r="106" spans="3:19" ht="13.35" customHeight="1">
      <c r="C106" s="1567"/>
      <c r="F106" s="1531"/>
      <c r="G106" s="1531"/>
      <c r="H106" s="1531"/>
      <c r="I106" s="1531"/>
      <c r="J106" s="1531"/>
      <c r="K106" s="1566"/>
      <c r="L106" s="1531"/>
      <c r="M106" s="1531"/>
      <c r="S106" s="699"/>
    </row>
    <row r="107" spans="3:19" ht="13.35" customHeight="1">
      <c r="C107" s="1567"/>
      <c r="F107" s="1531"/>
      <c r="G107" s="1531"/>
      <c r="H107" s="1531"/>
      <c r="I107" s="1531"/>
      <c r="J107" s="1531"/>
      <c r="K107" s="1566"/>
      <c r="L107" s="1531"/>
      <c r="M107" s="1531"/>
      <c r="S107" s="699"/>
    </row>
    <row r="108" spans="3:19" ht="13.35" customHeight="1">
      <c r="C108" s="1567" t="s">
        <v>232</v>
      </c>
      <c r="F108" s="1531"/>
      <c r="G108" s="1531"/>
      <c r="H108" s="1531"/>
      <c r="I108" s="1531"/>
      <c r="J108" s="1531"/>
      <c r="K108" s="1566"/>
      <c r="L108" s="1531"/>
      <c r="M108" s="1531"/>
      <c r="S108" s="699"/>
    </row>
    <row r="109" spans="3:19" ht="13.35" customHeight="1">
      <c r="C109" s="1567"/>
      <c r="F109" s="1531"/>
      <c r="G109" s="1531"/>
      <c r="H109" s="1531"/>
      <c r="I109" s="1531"/>
      <c r="J109" s="1531"/>
      <c r="K109" s="1566"/>
      <c r="L109" s="1531"/>
      <c r="M109" s="1531"/>
      <c r="S109" s="699"/>
    </row>
    <row r="110" spans="3:19" ht="13.35" customHeight="1">
      <c r="C110" s="1567"/>
      <c r="F110" s="1531"/>
      <c r="G110" s="1531"/>
      <c r="H110" s="1531"/>
      <c r="I110" s="1531"/>
      <c r="J110" s="1531"/>
      <c r="K110" s="1566"/>
      <c r="L110" s="1531"/>
      <c r="M110" s="1531"/>
      <c r="S110" s="699"/>
    </row>
    <row r="111" spans="3:19" ht="13.35" customHeight="1">
      <c r="C111" s="1567"/>
      <c r="F111" s="1531"/>
      <c r="G111" s="1531"/>
      <c r="H111" s="1531"/>
      <c r="I111" s="1531"/>
      <c r="J111" s="1531"/>
      <c r="K111" s="1566"/>
      <c r="L111" s="1531"/>
      <c r="M111" s="1531"/>
      <c r="S111" s="699"/>
    </row>
    <row r="112" spans="3:19" ht="13.35" customHeight="1">
      <c r="C112" s="1567"/>
      <c r="F112" s="1531"/>
      <c r="G112" s="1531"/>
      <c r="H112" s="1531"/>
      <c r="I112" s="1531"/>
      <c r="J112" s="1531"/>
      <c r="K112" s="1566"/>
      <c r="L112" s="1531"/>
      <c r="M112" s="1531"/>
      <c r="S112" s="699"/>
    </row>
    <row r="113" spans="3:19" ht="13.35" customHeight="1">
      <c r="C113" s="1567"/>
      <c r="F113" s="1531"/>
      <c r="G113" s="1531"/>
      <c r="H113" s="1531"/>
      <c r="I113" s="1531"/>
      <c r="J113" s="1531"/>
      <c r="K113" s="1566"/>
      <c r="L113" s="1531"/>
      <c r="M113" s="1531"/>
      <c r="S113" s="699"/>
    </row>
    <row r="114" spans="3:19" ht="13.35" customHeight="1">
      <c r="C114" s="1567"/>
      <c r="F114" s="1531"/>
      <c r="G114" s="1531"/>
      <c r="H114" s="1531"/>
      <c r="I114" s="1531"/>
      <c r="J114" s="1531"/>
      <c r="K114" s="1566"/>
      <c r="L114" s="1531"/>
      <c r="M114" s="1531"/>
      <c r="S114" s="699"/>
    </row>
    <row r="115" spans="3:19" ht="13.35" customHeight="1">
      <c r="C115" s="1567"/>
      <c r="F115" s="1531"/>
      <c r="G115" s="1531"/>
      <c r="H115" s="1531"/>
      <c r="I115" s="1531"/>
      <c r="J115" s="1531"/>
      <c r="K115" s="1566"/>
      <c r="L115" s="1531"/>
      <c r="M115" s="1531"/>
      <c r="S115" s="699"/>
    </row>
    <row r="116" spans="3:19" ht="13.35" customHeight="1">
      <c r="C116" s="1567"/>
      <c r="F116" s="1531"/>
      <c r="G116" s="1531"/>
      <c r="H116" s="1531"/>
      <c r="I116" s="1531"/>
      <c r="J116" s="1531"/>
      <c r="K116" s="1566"/>
      <c r="L116" s="1531"/>
      <c r="M116" s="1531"/>
      <c r="S116" s="699"/>
    </row>
    <row r="117" spans="3:19" ht="13.35" customHeight="1">
      <c r="C117" s="1567"/>
      <c r="F117" s="1531"/>
      <c r="G117" s="1531"/>
      <c r="H117" s="1531"/>
      <c r="I117" s="1531"/>
      <c r="J117" s="1531"/>
      <c r="K117" s="1566"/>
      <c r="L117" s="1531"/>
      <c r="M117" s="1531"/>
      <c r="S117" s="699"/>
    </row>
    <row r="118" spans="3:19" ht="13.35" customHeight="1">
      <c r="C118" s="1567"/>
      <c r="F118" s="1531"/>
      <c r="G118" s="1531"/>
      <c r="H118" s="1531"/>
      <c r="I118" s="1531"/>
      <c r="J118" s="1531"/>
      <c r="K118" s="1566"/>
      <c r="L118" s="1531"/>
      <c r="M118" s="1531"/>
      <c r="S118" s="699"/>
    </row>
    <row r="119" spans="3:19" ht="13.35" customHeight="1">
      <c r="C119" s="1567"/>
      <c r="F119" s="1531"/>
      <c r="G119" s="1531"/>
      <c r="H119" s="1531"/>
      <c r="I119" s="1531"/>
      <c r="J119" s="1531"/>
      <c r="K119" s="1566"/>
      <c r="L119" s="1531"/>
      <c r="M119" s="1531"/>
      <c r="S119" s="699"/>
    </row>
    <row r="120" spans="3:19" ht="13.35" customHeight="1">
      <c r="C120" s="1567"/>
      <c r="F120" s="1531"/>
      <c r="G120" s="1531"/>
      <c r="H120" s="1531"/>
      <c r="I120" s="1531"/>
      <c r="J120" s="1531"/>
      <c r="K120" s="1566"/>
      <c r="L120" s="1531"/>
      <c r="M120" s="1531"/>
      <c r="S120" s="699"/>
    </row>
    <row r="121" spans="3:19" ht="13.35" customHeight="1">
      <c r="C121" s="1567"/>
      <c r="F121" s="1531"/>
      <c r="G121" s="1531"/>
      <c r="H121" s="1531"/>
      <c r="I121" s="1531"/>
      <c r="J121" s="1531"/>
      <c r="K121" s="1566"/>
      <c r="L121" s="1531"/>
      <c r="M121" s="1531"/>
      <c r="S121" s="699"/>
    </row>
    <row r="122" spans="3:19" ht="13.35" customHeight="1">
      <c r="C122" s="1567"/>
      <c r="F122" s="1531"/>
      <c r="G122" s="1531"/>
      <c r="H122" s="1531"/>
      <c r="I122" s="1531"/>
      <c r="J122" s="1531"/>
      <c r="K122" s="1566"/>
      <c r="L122" s="1531"/>
      <c r="M122" s="1531"/>
      <c r="S122" s="699"/>
    </row>
    <row r="123" spans="3:19" ht="13.35" customHeight="1">
      <c r="C123" s="1567"/>
      <c r="F123" s="1531"/>
      <c r="G123" s="1531"/>
      <c r="H123" s="1531"/>
      <c r="I123" s="1531"/>
      <c r="J123" s="1531"/>
      <c r="K123" s="1566"/>
      <c r="L123" s="1531"/>
      <c r="M123" s="1531"/>
      <c r="S123" s="699"/>
    </row>
    <row r="124" spans="3:19" ht="13.35" customHeight="1">
      <c r="C124" s="1567"/>
      <c r="F124" s="1531"/>
      <c r="G124" s="1531"/>
      <c r="H124" s="1531"/>
      <c r="I124" s="1531"/>
      <c r="J124" s="1531"/>
      <c r="K124" s="1566"/>
      <c r="L124" s="1531"/>
      <c r="M124" s="1531"/>
      <c r="S124" s="699"/>
    </row>
    <row r="125" spans="3:19" ht="13.35" customHeight="1">
      <c r="C125" s="1567"/>
      <c r="F125" s="1531"/>
      <c r="G125" s="1531"/>
      <c r="H125" s="1531"/>
      <c r="I125" s="1531"/>
      <c r="J125" s="1531"/>
      <c r="K125" s="1566"/>
      <c r="L125" s="1531"/>
      <c r="M125" s="1531"/>
      <c r="S125" s="699"/>
    </row>
    <row r="126" spans="3:19" ht="13.35" customHeight="1">
      <c r="C126" s="1567"/>
      <c r="F126" s="1531"/>
      <c r="G126" s="1531"/>
      <c r="H126" s="1531"/>
      <c r="I126" s="1531"/>
      <c r="J126" s="1531"/>
      <c r="K126" s="1566"/>
      <c r="L126" s="1531"/>
      <c r="M126" s="1531"/>
      <c r="S126" s="699"/>
    </row>
    <row r="127" spans="3:19" ht="13.35" customHeight="1">
      <c r="C127" s="1567"/>
      <c r="F127" s="1531"/>
      <c r="G127" s="1531"/>
      <c r="H127" s="1531"/>
      <c r="I127" s="1531"/>
      <c r="J127" s="1531"/>
      <c r="K127" s="1566"/>
      <c r="L127" s="1531"/>
      <c r="M127" s="1531"/>
      <c r="S127" s="699"/>
    </row>
    <row r="128" spans="3:19" ht="13.35" customHeight="1">
      <c r="C128" s="1567"/>
      <c r="F128" s="1531"/>
      <c r="G128" s="1531"/>
      <c r="H128" s="1531"/>
      <c r="I128" s="1531"/>
      <c r="J128" s="1531"/>
      <c r="K128" s="1566"/>
      <c r="L128" s="1531"/>
      <c r="M128" s="1531"/>
      <c r="S128" s="699"/>
    </row>
    <row r="129" spans="3:19" ht="13.35" customHeight="1">
      <c r="C129" s="1567"/>
      <c r="F129" s="1531"/>
      <c r="G129" s="1531"/>
      <c r="H129" s="1531"/>
      <c r="I129" s="1531"/>
      <c r="J129" s="1531"/>
      <c r="K129" s="1566"/>
      <c r="L129" s="1531"/>
      <c r="M129" s="1531"/>
      <c r="S129" s="699"/>
    </row>
    <row r="130" spans="3:19" ht="13.35" customHeight="1">
      <c r="C130" s="1567"/>
      <c r="F130" s="1531"/>
      <c r="G130" s="1531"/>
      <c r="H130" s="1531"/>
      <c r="I130" s="1531"/>
      <c r="J130" s="1531"/>
      <c r="K130" s="1566"/>
      <c r="L130" s="1531"/>
      <c r="M130" s="1531"/>
      <c r="S130" s="699"/>
    </row>
    <row r="131" spans="3:19" ht="13.35" customHeight="1">
      <c r="C131" s="1567"/>
      <c r="F131" s="1531"/>
      <c r="G131" s="1531"/>
      <c r="H131" s="1531"/>
      <c r="I131" s="1531"/>
      <c r="J131" s="1531"/>
      <c r="K131" s="1566"/>
      <c r="L131" s="1531"/>
      <c r="M131" s="1531"/>
      <c r="S131" s="699"/>
    </row>
    <row r="132" spans="3:19" ht="13.35" customHeight="1">
      <c r="C132" s="1567"/>
      <c r="F132" s="1531"/>
      <c r="G132" s="1531"/>
      <c r="H132" s="1531"/>
      <c r="I132" s="1531"/>
      <c r="J132" s="1531"/>
      <c r="K132" s="1566"/>
      <c r="L132" s="1531"/>
      <c r="M132" s="1531"/>
      <c r="S132" s="699"/>
    </row>
    <row r="133" spans="3:19" ht="13.35" customHeight="1">
      <c r="C133" s="1567"/>
      <c r="F133" s="1531"/>
      <c r="G133" s="1531"/>
      <c r="H133" s="1531"/>
      <c r="I133" s="1531"/>
      <c r="J133" s="1531"/>
      <c r="K133" s="1566"/>
      <c r="L133" s="1531"/>
      <c r="M133" s="1531"/>
      <c r="S133" s="699"/>
    </row>
    <row r="134" spans="3:19" ht="13.35" customHeight="1">
      <c r="C134" s="1567"/>
      <c r="F134" s="1531"/>
      <c r="G134" s="1531"/>
      <c r="H134" s="1531"/>
      <c r="I134" s="1531"/>
      <c r="J134" s="1531"/>
      <c r="K134" s="1566"/>
      <c r="L134" s="1531"/>
      <c r="M134" s="1531"/>
      <c r="S134" s="699"/>
    </row>
    <row r="135" spans="3:19" ht="13.35" customHeight="1">
      <c r="C135" s="1567"/>
      <c r="F135" s="1531"/>
      <c r="G135" s="1531"/>
      <c r="H135" s="1531"/>
      <c r="I135" s="1531"/>
      <c r="J135" s="1531"/>
      <c r="K135" s="1566"/>
      <c r="L135" s="1531"/>
      <c r="M135" s="1531"/>
      <c r="S135" s="699"/>
    </row>
    <row r="136" spans="3:19" ht="13.35" customHeight="1">
      <c r="C136" s="1567"/>
      <c r="F136" s="1531"/>
      <c r="G136" s="1531"/>
      <c r="H136" s="1531"/>
      <c r="I136" s="1531"/>
      <c r="J136" s="1531"/>
      <c r="K136" s="1566"/>
      <c r="L136" s="1531"/>
      <c r="M136" s="1531"/>
      <c r="S136" s="699"/>
    </row>
    <row r="137" spans="3:19" ht="13.35" customHeight="1">
      <c r="C137" s="1567"/>
      <c r="F137" s="1531"/>
      <c r="G137" s="1531"/>
      <c r="H137" s="1531"/>
      <c r="I137" s="1531"/>
      <c r="J137" s="1531"/>
      <c r="K137" s="1566"/>
      <c r="L137" s="1531"/>
      <c r="M137" s="1531"/>
      <c r="S137" s="699"/>
    </row>
    <row r="138" spans="3:19" ht="13.35" customHeight="1">
      <c r="C138" s="1567"/>
      <c r="F138" s="1531"/>
      <c r="G138" s="1531"/>
      <c r="H138" s="1531"/>
      <c r="I138" s="1531"/>
      <c r="J138" s="1531"/>
      <c r="K138" s="1566"/>
      <c r="L138" s="1531"/>
      <c r="M138" s="1531"/>
      <c r="S138" s="699"/>
    </row>
    <row r="139" spans="3:19" ht="13.35" customHeight="1">
      <c r="C139" s="1567"/>
      <c r="F139" s="1531"/>
      <c r="G139" s="1531"/>
      <c r="H139" s="1531"/>
      <c r="I139" s="1531"/>
      <c r="J139" s="1531"/>
      <c r="K139" s="1566"/>
      <c r="L139" s="1531"/>
      <c r="M139" s="1531"/>
      <c r="S139" s="699"/>
    </row>
    <row r="140" spans="3:19" ht="13.35" customHeight="1">
      <c r="C140" s="1567"/>
      <c r="F140" s="1531"/>
      <c r="G140" s="1531"/>
      <c r="H140" s="1531"/>
      <c r="I140" s="1531"/>
      <c r="J140" s="1531"/>
      <c r="K140" s="1566"/>
      <c r="L140" s="1531"/>
      <c r="M140" s="1531"/>
      <c r="S140" s="699"/>
    </row>
    <row r="141" spans="3:19" ht="13.35" customHeight="1">
      <c r="C141" s="1567"/>
      <c r="F141" s="1531"/>
      <c r="G141" s="1531"/>
      <c r="H141" s="1531"/>
      <c r="I141" s="1531"/>
      <c r="J141" s="1531"/>
      <c r="K141" s="1566"/>
      <c r="L141" s="1531"/>
      <c r="M141" s="1531"/>
      <c r="S141" s="699"/>
    </row>
    <row r="142" spans="3:19" ht="13.35" customHeight="1">
      <c r="C142" s="1567"/>
      <c r="F142" s="1531"/>
      <c r="G142" s="1531"/>
      <c r="H142" s="1531"/>
      <c r="I142" s="1531"/>
      <c r="J142" s="1531"/>
      <c r="K142" s="1566"/>
      <c r="L142" s="1531"/>
      <c r="M142" s="1531"/>
      <c r="S142" s="699"/>
    </row>
    <row r="143" spans="3:19" ht="13.35" customHeight="1">
      <c r="C143" s="1567"/>
      <c r="F143" s="1531"/>
      <c r="G143" s="1531"/>
      <c r="H143" s="1531"/>
      <c r="I143" s="1531"/>
      <c r="J143" s="1531"/>
      <c r="K143" s="1566"/>
      <c r="L143" s="1531"/>
      <c r="M143" s="1531"/>
      <c r="S143" s="699"/>
    </row>
    <row r="144" spans="3:19" ht="13.35" customHeight="1">
      <c r="C144" s="1567"/>
      <c r="F144" s="1531"/>
      <c r="G144" s="1531"/>
      <c r="H144" s="1531"/>
      <c r="I144" s="1531"/>
      <c r="J144" s="1531"/>
      <c r="K144" s="1566"/>
      <c r="L144" s="1531"/>
      <c r="M144" s="1531"/>
      <c r="S144" s="699"/>
    </row>
    <row r="145" spans="3:19" ht="13.35" customHeight="1">
      <c r="C145" s="1567"/>
      <c r="F145" s="1531"/>
      <c r="G145" s="1531"/>
      <c r="H145" s="1531"/>
      <c r="I145" s="1531"/>
      <c r="J145" s="1531"/>
      <c r="K145" s="1566"/>
      <c r="L145" s="1531"/>
      <c r="M145" s="1531"/>
      <c r="S145" s="699"/>
    </row>
    <row r="146" spans="3:19" ht="13.35" customHeight="1">
      <c r="C146" s="1567"/>
      <c r="F146" s="1531"/>
      <c r="G146" s="1531"/>
      <c r="H146" s="1531"/>
      <c r="I146" s="1531"/>
      <c r="J146" s="1531"/>
      <c r="K146" s="1566"/>
      <c r="L146" s="1531"/>
      <c r="M146" s="1531"/>
      <c r="S146" s="699"/>
    </row>
    <row r="147" spans="3:19" ht="13.35" customHeight="1">
      <c r="C147" s="1567"/>
      <c r="F147" s="1531"/>
      <c r="G147" s="1531"/>
      <c r="H147" s="1531"/>
      <c r="I147" s="1531"/>
      <c r="J147" s="1531"/>
      <c r="K147" s="1566"/>
      <c r="L147" s="1531"/>
      <c r="M147" s="1531"/>
      <c r="S147" s="699"/>
    </row>
    <row r="148" spans="3:19" ht="13.35" customHeight="1">
      <c r="C148" s="1567"/>
      <c r="F148" s="1531"/>
      <c r="G148" s="1531"/>
      <c r="H148" s="1531"/>
      <c r="I148" s="1531"/>
      <c r="J148" s="1531"/>
      <c r="K148" s="1566"/>
      <c r="L148" s="1531"/>
      <c r="M148" s="1531"/>
      <c r="S148" s="699"/>
    </row>
    <row r="149" spans="3:19" ht="13.35" customHeight="1">
      <c r="C149" s="1567"/>
      <c r="F149" s="1531"/>
      <c r="G149" s="1531"/>
      <c r="H149" s="1531"/>
      <c r="I149" s="1531"/>
      <c r="J149" s="1531"/>
      <c r="K149" s="1566"/>
      <c r="L149" s="1531"/>
      <c r="M149" s="1531"/>
      <c r="S149" s="699"/>
    </row>
    <row r="150" spans="3:19" ht="13.35" customHeight="1">
      <c r="C150" s="1567"/>
      <c r="F150" s="1531"/>
      <c r="G150" s="1531"/>
      <c r="H150" s="1531"/>
      <c r="I150" s="1531"/>
      <c r="J150" s="1531"/>
      <c r="K150" s="1566"/>
      <c r="L150" s="1531"/>
      <c r="M150" s="1531"/>
      <c r="S150" s="699"/>
    </row>
    <row r="151" spans="3:19" ht="13.35" customHeight="1">
      <c r="C151" s="1567"/>
      <c r="F151" s="1531"/>
      <c r="G151" s="1531"/>
      <c r="H151" s="1531"/>
      <c r="I151" s="1531"/>
      <c r="J151" s="1531"/>
      <c r="K151" s="1566"/>
      <c r="L151" s="1531"/>
      <c r="M151" s="1531"/>
      <c r="S151" s="699"/>
    </row>
    <row r="152" spans="3:19" ht="13.35" customHeight="1">
      <c r="C152" s="1567"/>
      <c r="F152" s="1531"/>
      <c r="G152" s="1531"/>
      <c r="H152" s="1531"/>
      <c r="I152" s="1531"/>
      <c r="J152" s="1531"/>
      <c r="K152" s="1566"/>
      <c r="L152" s="1531"/>
      <c r="M152" s="1531"/>
      <c r="S152" s="699"/>
    </row>
    <row r="153" spans="3:19" ht="13.35" customHeight="1">
      <c r="C153" s="1567"/>
      <c r="F153" s="1531"/>
      <c r="G153" s="1531"/>
      <c r="H153" s="1531"/>
      <c r="I153" s="1531"/>
      <c r="J153" s="1531"/>
      <c r="K153" s="1566"/>
      <c r="L153" s="1531"/>
      <c r="M153" s="1531"/>
      <c r="S153" s="699"/>
    </row>
    <row r="154" spans="3:19" ht="13.35" customHeight="1">
      <c r="C154" s="1567"/>
      <c r="F154" s="1531"/>
      <c r="G154" s="1531"/>
      <c r="H154" s="1531"/>
      <c r="I154" s="1531"/>
      <c r="J154" s="1531"/>
      <c r="K154" s="1566"/>
      <c r="L154" s="1531"/>
      <c r="M154" s="1531"/>
      <c r="S154" s="699"/>
    </row>
    <row r="155" spans="3:19" ht="13.35" customHeight="1">
      <c r="C155" s="1567"/>
      <c r="F155" s="1531"/>
      <c r="G155" s="1531"/>
      <c r="H155" s="1531"/>
      <c r="I155" s="1531"/>
      <c r="J155" s="1531"/>
      <c r="K155" s="1566"/>
      <c r="L155" s="1531"/>
      <c r="M155" s="1531"/>
      <c r="S155" s="699"/>
    </row>
    <row r="156" spans="3:19" ht="13.35" customHeight="1">
      <c r="C156" s="1567"/>
      <c r="F156" s="1531"/>
      <c r="G156" s="1531"/>
      <c r="H156" s="1531"/>
      <c r="I156" s="1531"/>
      <c r="J156" s="1531"/>
      <c r="K156" s="1566"/>
      <c r="L156" s="1531"/>
      <c r="M156" s="1531"/>
      <c r="S156" s="699"/>
    </row>
    <row r="157" spans="3:19" ht="13.35" customHeight="1">
      <c r="C157" s="1567"/>
      <c r="F157" s="1531"/>
      <c r="G157" s="1531"/>
      <c r="H157" s="1531"/>
      <c r="I157" s="1531"/>
      <c r="J157" s="1531"/>
      <c r="K157" s="1566"/>
      <c r="L157" s="1531"/>
      <c r="M157" s="1531"/>
      <c r="S157" s="699"/>
    </row>
    <row r="158" spans="3:19" ht="13.35" customHeight="1">
      <c r="C158" s="1567"/>
      <c r="F158" s="1531"/>
      <c r="G158" s="1531"/>
      <c r="H158" s="1531"/>
      <c r="I158" s="1531"/>
      <c r="J158" s="1531"/>
      <c r="K158" s="1566"/>
      <c r="L158" s="1531"/>
      <c r="M158" s="1531"/>
      <c r="S158" s="699"/>
    </row>
    <row r="159" spans="3:19" ht="13.35" customHeight="1">
      <c r="C159" s="1567"/>
      <c r="F159" s="1531"/>
      <c r="G159" s="1531"/>
      <c r="H159" s="1531"/>
      <c r="I159" s="1531"/>
      <c r="J159" s="1531"/>
      <c r="K159" s="1566"/>
      <c r="L159" s="1531"/>
      <c r="M159" s="1531"/>
      <c r="S159" s="699"/>
    </row>
    <row r="160" spans="3:19" ht="13.35" customHeight="1">
      <c r="C160" s="1567"/>
      <c r="F160" s="1531"/>
      <c r="G160" s="1531"/>
      <c r="H160" s="1531"/>
      <c r="I160" s="1531"/>
      <c r="J160" s="1531"/>
      <c r="K160" s="1566"/>
      <c r="L160" s="1531"/>
      <c r="M160" s="1531"/>
      <c r="S160" s="699"/>
    </row>
    <row r="161" spans="3:19" ht="13.35" customHeight="1">
      <c r="C161" s="1567"/>
      <c r="F161" s="1531"/>
      <c r="G161" s="1531"/>
      <c r="H161" s="1531"/>
      <c r="I161" s="1531"/>
      <c r="J161" s="1531"/>
      <c r="K161" s="1566"/>
      <c r="L161" s="1531"/>
      <c r="M161" s="1531"/>
      <c r="S161" s="699"/>
    </row>
    <row r="162" spans="3:19" ht="13.35" customHeight="1">
      <c r="C162" s="1567"/>
      <c r="F162" s="1531"/>
      <c r="G162" s="1531"/>
      <c r="H162" s="1531"/>
      <c r="I162" s="1531"/>
      <c r="J162" s="1531"/>
      <c r="K162" s="1566"/>
      <c r="L162" s="1531"/>
      <c r="M162" s="1531"/>
      <c r="S162" s="699"/>
    </row>
    <row r="163" spans="3:19" ht="13.35" customHeight="1">
      <c r="C163" s="1567"/>
      <c r="F163" s="1531"/>
      <c r="G163" s="1531"/>
      <c r="H163" s="1531"/>
      <c r="I163" s="1531"/>
      <c r="J163" s="1531"/>
      <c r="K163" s="1566"/>
      <c r="L163" s="1531"/>
      <c r="M163" s="1531"/>
      <c r="S163" s="699"/>
    </row>
    <row r="164" spans="3:19" ht="13.35" customHeight="1">
      <c r="C164" s="1567"/>
      <c r="F164" s="1531"/>
      <c r="G164" s="1531"/>
      <c r="H164" s="1531"/>
      <c r="I164" s="1531"/>
      <c r="J164" s="1531"/>
      <c r="K164" s="1566"/>
      <c r="L164" s="1531"/>
      <c r="M164" s="1531"/>
      <c r="S164" s="699"/>
    </row>
    <row r="165" spans="3:19" ht="13.35" customHeight="1">
      <c r="C165" s="1567"/>
      <c r="F165" s="1531"/>
      <c r="G165" s="1531"/>
      <c r="H165" s="1531"/>
      <c r="I165" s="1531"/>
      <c r="J165" s="1531"/>
      <c r="K165" s="1566"/>
      <c r="L165" s="1531"/>
      <c r="M165" s="1531"/>
      <c r="S165" s="699"/>
    </row>
    <row r="166" spans="3:19" ht="13.35" customHeight="1">
      <c r="C166" s="1567"/>
      <c r="F166" s="1531"/>
      <c r="G166" s="1531"/>
      <c r="H166" s="1531"/>
      <c r="I166" s="1531"/>
      <c r="J166" s="1531"/>
      <c r="K166" s="1566"/>
      <c r="L166" s="1531"/>
      <c r="M166" s="1531"/>
      <c r="S166" s="699"/>
    </row>
    <row r="167" spans="3:19" ht="13.35" customHeight="1">
      <c r="C167" s="1567"/>
      <c r="F167" s="1531"/>
      <c r="G167" s="1531"/>
      <c r="H167" s="1531"/>
      <c r="I167" s="1531"/>
      <c r="J167" s="1531"/>
      <c r="K167" s="1566"/>
      <c r="L167" s="1531"/>
      <c r="M167" s="1531"/>
      <c r="S167" s="699"/>
    </row>
    <row r="168" spans="3:19" ht="13.35" customHeight="1">
      <c r="C168" s="1567"/>
      <c r="F168" s="1531"/>
      <c r="G168" s="1531"/>
      <c r="H168" s="1531"/>
      <c r="I168" s="1531"/>
      <c r="J168" s="1531"/>
      <c r="K168" s="1566"/>
      <c r="L168" s="1531"/>
      <c r="M168" s="1531"/>
      <c r="S168" s="699"/>
    </row>
    <row r="169" spans="3:19" ht="13.35" customHeight="1">
      <c r="C169" s="1567"/>
      <c r="F169" s="1531"/>
      <c r="G169" s="1531"/>
      <c r="H169" s="1531"/>
      <c r="I169" s="1531"/>
      <c r="J169" s="1531"/>
      <c r="K169" s="1566"/>
      <c r="L169" s="1531"/>
      <c r="M169" s="1531"/>
      <c r="S169" s="699"/>
    </row>
    <row r="170" spans="3:19" ht="13.35" customHeight="1">
      <c r="C170" s="1567"/>
      <c r="F170" s="1531"/>
      <c r="G170" s="1531"/>
      <c r="H170" s="1531"/>
      <c r="I170" s="1531"/>
      <c r="J170" s="1531"/>
      <c r="K170" s="1566"/>
      <c r="L170" s="1531"/>
      <c r="M170" s="1531"/>
      <c r="S170" s="699"/>
    </row>
    <row r="171" spans="3:19" ht="13.35" customHeight="1">
      <c r="C171" s="1567"/>
      <c r="F171" s="1531"/>
      <c r="G171" s="1531"/>
      <c r="H171" s="1531"/>
      <c r="I171" s="1531"/>
      <c r="J171" s="1531"/>
      <c r="K171" s="1566"/>
      <c r="L171" s="1531"/>
      <c r="M171" s="1531"/>
      <c r="S171" s="699"/>
    </row>
    <row r="172" spans="3:19" ht="13.35" customHeight="1">
      <c r="C172" s="1567"/>
      <c r="F172" s="1531"/>
      <c r="G172" s="1531"/>
      <c r="H172" s="1531"/>
      <c r="I172" s="1531"/>
      <c r="J172" s="1531"/>
      <c r="K172" s="1566"/>
      <c r="L172" s="1531"/>
      <c r="M172" s="1531"/>
      <c r="S172" s="699"/>
    </row>
    <row r="173" spans="3:19" ht="13.35" customHeight="1">
      <c r="C173" s="1567"/>
      <c r="F173" s="1531"/>
      <c r="G173" s="1531"/>
      <c r="H173" s="1531"/>
      <c r="I173" s="1531"/>
      <c r="J173" s="1531"/>
      <c r="K173" s="1566"/>
      <c r="L173" s="1531"/>
      <c r="M173" s="1531"/>
      <c r="S173" s="699"/>
    </row>
    <row r="174" spans="3:19" ht="13.35" customHeight="1">
      <c r="C174" s="1567"/>
      <c r="F174" s="1531"/>
      <c r="G174" s="1531"/>
      <c r="H174" s="1531"/>
      <c r="I174" s="1531"/>
      <c r="J174" s="1531"/>
      <c r="K174" s="1566"/>
      <c r="L174" s="1531"/>
      <c r="M174" s="1531"/>
      <c r="S174" s="699"/>
    </row>
    <row r="175" spans="3:19" ht="13.35" customHeight="1">
      <c r="C175" s="1567"/>
      <c r="F175" s="1531"/>
      <c r="G175" s="1531"/>
      <c r="H175" s="1531"/>
      <c r="I175" s="1531"/>
      <c r="J175" s="1531"/>
      <c r="K175" s="1566"/>
      <c r="L175" s="1531"/>
      <c r="M175" s="1531"/>
      <c r="S175" s="699"/>
    </row>
    <row r="176" spans="3:19" ht="13.35" customHeight="1">
      <c r="C176" s="1567"/>
      <c r="F176" s="1531"/>
      <c r="G176" s="1531"/>
      <c r="H176" s="1531"/>
      <c r="I176" s="1531"/>
      <c r="J176" s="1531"/>
      <c r="K176" s="1566"/>
      <c r="L176" s="1531"/>
      <c r="M176" s="1531"/>
      <c r="S176" s="699"/>
    </row>
    <row r="177" spans="3:19" ht="13.35" customHeight="1">
      <c r="C177" s="1567"/>
      <c r="F177" s="1531"/>
      <c r="G177" s="1531"/>
      <c r="H177" s="1531"/>
      <c r="I177" s="1531"/>
      <c r="J177" s="1531"/>
      <c r="K177" s="1566"/>
      <c r="L177" s="1531"/>
      <c r="M177" s="1531"/>
      <c r="S177" s="699"/>
    </row>
    <row r="178" spans="3:19" ht="13.35" customHeight="1">
      <c r="C178" s="1567"/>
      <c r="F178" s="1531"/>
      <c r="G178" s="1531"/>
      <c r="H178" s="1531"/>
      <c r="I178" s="1531"/>
      <c r="J178" s="1531"/>
      <c r="K178" s="1566"/>
      <c r="L178" s="1531"/>
      <c r="M178" s="1531"/>
      <c r="S178" s="699"/>
    </row>
    <row r="179" spans="3:19" ht="13.35" customHeight="1">
      <c r="C179" s="1567"/>
      <c r="F179" s="1531"/>
      <c r="G179" s="1531"/>
      <c r="H179" s="1531"/>
      <c r="I179" s="1531"/>
      <c r="J179" s="1531"/>
      <c r="K179" s="1566"/>
      <c r="L179" s="1531"/>
      <c r="M179" s="1531"/>
      <c r="S179" s="699"/>
    </row>
    <row r="180" spans="3:19" ht="13.35" customHeight="1">
      <c r="C180" s="1567"/>
      <c r="F180" s="1531"/>
      <c r="G180" s="1531"/>
      <c r="H180" s="1531"/>
      <c r="I180" s="1531"/>
      <c r="J180" s="1531"/>
      <c r="K180" s="1566"/>
      <c r="L180" s="1531"/>
      <c r="M180" s="1531"/>
      <c r="S180" s="699"/>
    </row>
    <row r="181" spans="3:19" ht="13.35" customHeight="1">
      <c r="C181" s="1567"/>
      <c r="F181" s="1531"/>
      <c r="G181" s="1531"/>
      <c r="H181" s="1531"/>
      <c r="I181" s="1531"/>
      <c r="J181" s="1531"/>
      <c r="K181" s="1566"/>
      <c r="L181" s="1531"/>
      <c r="M181" s="1531"/>
      <c r="S181" s="699"/>
    </row>
    <row r="182" spans="3:19" ht="13.35" customHeight="1">
      <c r="C182" s="1567"/>
      <c r="F182" s="1531"/>
      <c r="G182" s="1531"/>
      <c r="H182" s="1531"/>
      <c r="I182" s="1531"/>
      <c r="J182" s="1531"/>
      <c r="K182" s="1566"/>
      <c r="L182" s="1531"/>
      <c r="M182" s="1531"/>
      <c r="S182" s="699"/>
    </row>
    <row r="183" spans="3:19" ht="13.35" customHeight="1">
      <c r="C183" s="1567"/>
      <c r="F183" s="1531"/>
      <c r="G183" s="1531"/>
      <c r="H183" s="1531"/>
      <c r="I183" s="1531"/>
      <c r="J183" s="1531"/>
      <c r="K183" s="1566"/>
      <c r="L183" s="1531"/>
      <c r="M183" s="1531"/>
      <c r="S183" s="699"/>
    </row>
    <row r="184" spans="3:19" ht="13.35" customHeight="1">
      <c r="C184" s="1567"/>
      <c r="F184" s="1531"/>
      <c r="G184" s="1531"/>
      <c r="H184" s="1531"/>
      <c r="I184" s="1531"/>
      <c r="J184" s="1531"/>
      <c r="K184" s="1566"/>
      <c r="L184" s="1531"/>
      <c r="M184" s="1531"/>
      <c r="S184" s="699"/>
    </row>
    <row r="185" spans="3:19" ht="13.35" customHeight="1">
      <c r="C185" s="1567"/>
      <c r="F185" s="1531"/>
      <c r="G185" s="1531"/>
      <c r="H185" s="1531"/>
      <c r="I185" s="1531"/>
      <c r="J185" s="1531"/>
      <c r="K185" s="1566"/>
      <c r="L185" s="1531"/>
      <c r="M185" s="1531"/>
      <c r="S185" s="699"/>
    </row>
    <row r="186" spans="3:19" ht="13.35" customHeight="1">
      <c r="C186" s="1567"/>
      <c r="F186" s="1531"/>
      <c r="G186" s="1531"/>
      <c r="H186" s="1531"/>
      <c r="I186" s="1531"/>
      <c r="J186" s="1531"/>
      <c r="K186" s="1566"/>
      <c r="L186" s="1531"/>
      <c r="M186" s="1531"/>
      <c r="S186" s="699"/>
    </row>
    <row r="187" spans="3:19" ht="13.35" customHeight="1">
      <c r="C187" s="1567" t="s">
        <v>232</v>
      </c>
      <c r="F187" s="1531"/>
      <c r="G187" s="1531"/>
      <c r="H187" s="1531"/>
      <c r="I187" s="1531"/>
      <c r="J187" s="1531"/>
      <c r="K187" s="1566"/>
      <c r="L187" s="1531"/>
      <c r="M187" s="1531"/>
      <c r="S187" s="699"/>
    </row>
    <row r="188" spans="3:19" ht="13.35" customHeight="1">
      <c r="C188" s="1567"/>
      <c r="F188" s="1531"/>
      <c r="G188" s="1531"/>
      <c r="H188" s="1531"/>
      <c r="I188" s="1531"/>
      <c r="J188" s="1531"/>
      <c r="K188" s="1566"/>
      <c r="L188" s="1531"/>
      <c r="M188" s="1531"/>
      <c r="S188" s="699"/>
    </row>
    <row r="189" spans="3:19" ht="13.35" customHeight="1">
      <c r="C189" s="1567"/>
      <c r="F189" s="1531"/>
      <c r="G189" s="1531"/>
      <c r="H189" s="1531"/>
      <c r="I189" s="1531"/>
      <c r="J189" s="1531"/>
      <c r="K189" s="1566"/>
      <c r="L189" s="1531"/>
      <c r="M189" s="1531"/>
      <c r="S189" s="699"/>
    </row>
    <row r="190" spans="3:19" ht="13.35" customHeight="1">
      <c r="C190" s="1567"/>
      <c r="F190" s="1531"/>
      <c r="G190" s="1531"/>
      <c r="H190" s="1531"/>
      <c r="I190" s="1531"/>
      <c r="J190" s="1531"/>
      <c r="K190" s="1566"/>
      <c r="L190" s="1531"/>
      <c r="M190" s="1531"/>
      <c r="S190" s="699"/>
    </row>
    <row r="191" spans="3:19" ht="13.35" customHeight="1">
      <c r="C191" s="1567"/>
      <c r="F191" s="1531"/>
      <c r="G191" s="1531"/>
      <c r="H191" s="1531"/>
      <c r="I191" s="1531"/>
      <c r="J191" s="1531"/>
      <c r="K191" s="1566"/>
      <c r="L191" s="1531"/>
      <c r="M191" s="1531"/>
      <c r="S191" s="699"/>
    </row>
    <row r="192" spans="3:19" ht="13.35" customHeight="1">
      <c r="C192" s="1567"/>
      <c r="F192" s="1531"/>
      <c r="G192" s="1531"/>
      <c r="H192" s="1531"/>
      <c r="I192" s="1531"/>
      <c r="J192" s="1531"/>
      <c r="K192" s="1566"/>
      <c r="L192" s="1531"/>
      <c r="M192" s="1531"/>
      <c r="S192" s="699"/>
    </row>
    <row r="193" spans="3:19" ht="13.35" customHeight="1">
      <c r="C193" s="1567"/>
      <c r="F193" s="636"/>
      <c r="G193" s="636"/>
      <c r="H193" s="636"/>
      <c r="I193" s="636"/>
      <c r="J193" s="636"/>
      <c r="K193" s="1566"/>
      <c r="L193" s="636"/>
      <c r="M193" s="636"/>
      <c r="S193" s="699"/>
    </row>
    <row r="194" spans="3:19" ht="13.35" customHeight="1">
      <c r="C194" s="1567"/>
      <c r="F194" s="636"/>
      <c r="G194" s="636"/>
      <c r="H194" s="636"/>
      <c r="I194" s="636"/>
      <c r="J194" s="636"/>
      <c r="K194" s="1566"/>
      <c r="L194" s="636"/>
      <c r="M194" s="636"/>
      <c r="S194" s="699"/>
    </row>
    <row r="195" spans="3:19" ht="13.35" customHeight="1">
      <c r="C195" s="1567"/>
      <c r="F195" s="636"/>
      <c r="G195" s="636"/>
      <c r="H195" s="636"/>
      <c r="I195" s="636"/>
      <c r="J195" s="636"/>
      <c r="K195" s="1566"/>
      <c r="L195" s="636"/>
      <c r="M195" s="636"/>
      <c r="S195" s="699"/>
    </row>
    <row r="196" spans="3:19" ht="13.35" customHeight="1">
      <c r="C196" s="1567"/>
      <c r="F196" s="636"/>
      <c r="G196" s="636"/>
      <c r="H196" s="636"/>
      <c r="I196" s="636"/>
      <c r="J196" s="636"/>
      <c r="K196" s="1566"/>
      <c r="L196" s="636"/>
      <c r="M196" s="636"/>
      <c r="S196" s="699"/>
    </row>
    <row r="197" spans="3:19" ht="13.35" customHeight="1">
      <c r="C197" s="1567"/>
      <c r="F197" s="636"/>
      <c r="G197" s="636"/>
      <c r="H197" s="636"/>
      <c r="I197" s="636"/>
      <c r="J197" s="636"/>
      <c r="K197" s="1566"/>
      <c r="L197" s="636"/>
      <c r="M197" s="636"/>
      <c r="S197" s="699"/>
    </row>
    <row r="198" spans="3:19" ht="13.35" customHeight="1">
      <c r="C198" s="1567"/>
      <c r="F198" s="636"/>
      <c r="G198" s="636"/>
      <c r="H198" s="636"/>
      <c r="I198" s="636"/>
      <c r="J198" s="636"/>
      <c r="K198" s="1566"/>
      <c r="L198" s="636"/>
      <c r="M198" s="636"/>
      <c r="S198" s="699"/>
    </row>
    <row r="199" spans="3:19" ht="13.35" customHeight="1">
      <c r="C199" s="1567"/>
      <c r="F199" s="636"/>
      <c r="G199" s="636"/>
      <c r="H199" s="636"/>
      <c r="I199" s="636"/>
      <c r="J199" s="636"/>
      <c r="K199" s="1566"/>
      <c r="L199" s="636"/>
      <c r="M199" s="636"/>
      <c r="S199" s="699"/>
    </row>
    <row r="200" spans="3:19" ht="13.35" customHeight="1">
      <c r="C200" s="1567"/>
      <c r="F200" s="636"/>
      <c r="G200" s="636"/>
      <c r="H200" s="636"/>
      <c r="I200" s="636"/>
      <c r="J200" s="636"/>
      <c r="K200" s="1566"/>
      <c r="L200" s="636"/>
      <c r="M200" s="636"/>
      <c r="S200" s="699"/>
    </row>
    <row r="201" spans="3:19" ht="13.35" customHeight="1">
      <c r="C201" s="1567"/>
      <c r="F201" s="636"/>
      <c r="G201" s="636"/>
      <c r="H201" s="636"/>
      <c r="I201" s="636"/>
      <c r="J201" s="636"/>
      <c r="K201" s="1566"/>
      <c r="L201" s="636"/>
      <c r="M201" s="636"/>
      <c r="S201" s="699"/>
    </row>
    <row r="202" spans="3:19" ht="13.35" customHeight="1">
      <c r="C202" s="1567"/>
      <c r="F202" s="636"/>
      <c r="G202" s="636"/>
      <c r="H202" s="636"/>
      <c r="I202" s="636"/>
      <c r="J202" s="636"/>
      <c r="K202" s="1566"/>
      <c r="L202" s="636"/>
      <c r="M202" s="636"/>
      <c r="S202" s="699"/>
    </row>
    <row r="203" spans="3:19" ht="13.35" customHeight="1">
      <c r="C203" s="1567"/>
      <c r="F203" s="636"/>
      <c r="G203" s="636"/>
      <c r="H203" s="636"/>
      <c r="I203" s="636"/>
      <c r="J203" s="636"/>
      <c r="K203" s="1566"/>
      <c r="L203" s="636"/>
      <c r="M203" s="636"/>
      <c r="S203" s="699"/>
    </row>
    <row r="204" spans="3:19" ht="13.35" customHeight="1">
      <c r="C204" s="1567"/>
      <c r="F204" s="636"/>
      <c r="G204" s="636"/>
      <c r="H204" s="636"/>
      <c r="I204" s="636"/>
      <c r="J204" s="636"/>
      <c r="K204" s="1566"/>
      <c r="L204" s="636"/>
      <c r="M204" s="636"/>
      <c r="S204" s="699"/>
    </row>
    <row r="205" spans="3:19" ht="13.35" customHeight="1">
      <c r="C205" s="1567"/>
      <c r="F205" s="636"/>
      <c r="G205" s="636"/>
      <c r="H205" s="636"/>
      <c r="I205" s="636"/>
      <c r="J205" s="636"/>
      <c r="K205" s="1566"/>
      <c r="L205" s="636"/>
      <c r="M205" s="636"/>
      <c r="S205" s="699"/>
    </row>
    <row r="206" spans="3:19" ht="13.35" customHeight="1">
      <c r="C206" s="1567"/>
      <c r="F206" s="636"/>
      <c r="G206" s="636"/>
      <c r="H206" s="636"/>
      <c r="I206" s="636"/>
      <c r="J206" s="636"/>
      <c r="K206" s="1566"/>
      <c r="L206" s="636"/>
      <c r="M206" s="636"/>
      <c r="S206" s="699"/>
    </row>
    <row r="207" spans="3:19" ht="13.35" customHeight="1">
      <c r="C207" s="1567"/>
      <c r="F207" s="636"/>
      <c r="G207" s="636"/>
      <c r="H207" s="636"/>
      <c r="I207" s="636"/>
      <c r="J207" s="636"/>
      <c r="K207" s="1566"/>
      <c r="L207" s="636"/>
      <c r="M207" s="636"/>
      <c r="S207" s="699"/>
    </row>
    <row r="208" spans="3:19" ht="13.35" customHeight="1">
      <c r="C208" s="1567"/>
      <c r="F208" s="636"/>
      <c r="G208" s="636"/>
      <c r="H208" s="636"/>
      <c r="I208" s="636"/>
      <c r="J208" s="636"/>
      <c r="K208" s="1566"/>
      <c r="L208" s="636"/>
      <c r="M208" s="636"/>
      <c r="S208" s="699"/>
    </row>
    <row r="209" spans="3:19" ht="13.35" customHeight="1">
      <c r="C209" s="1567"/>
      <c r="F209" s="636"/>
      <c r="G209" s="636"/>
      <c r="H209" s="636"/>
      <c r="I209" s="636"/>
      <c r="J209" s="636"/>
      <c r="K209" s="1566"/>
      <c r="L209" s="636"/>
      <c r="M209" s="636"/>
      <c r="S209" s="699"/>
    </row>
    <row r="210" spans="3:19" ht="13.35" customHeight="1">
      <c r="C210" s="1567"/>
      <c r="F210" s="636"/>
      <c r="G210" s="636"/>
      <c r="H210" s="636"/>
      <c r="I210" s="636"/>
      <c r="J210" s="636"/>
      <c r="K210" s="1566"/>
      <c r="L210" s="636"/>
      <c r="M210" s="636"/>
      <c r="S210" s="699"/>
    </row>
    <row r="211" spans="3:19" ht="13.35" customHeight="1">
      <c r="C211" s="1567"/>
      <c r="F211" s="636"/>
      <c r="G211" s="636"/>
      <c r="H211" s="636"/>
      <c r="I211" s="636"/>
      <c r="J211" s="636"/>
      <c r="K211" s="1566"/>
      <c r="L211" s="636"/>
      <c r="M211" s="636"/>
      <c r="S211" s="699"/>
    </row>
    <row r="212" spans="3:19" ht="13.35" customHeight="1">
      <c r="C212" s="1567"/>
      <c r="F212" s="636"/>
      <c r="G212" s="636"/>
      <c r="H212" s="636"/>
      <c r="I212" s="636"/>
      <c r="J212" s="636"/>
      <c r="K212" s="1566"/>
      <c r="L212" s="636"/>
      <c r="M212" s="636"/>
      <c r="S212" s="699"/>
    </row>
    <row r="213" spans="3:19" ht="13.35" customHeight="1">
      <c r="C213" s="1567"/>
      <c r="F213" s="636"/>
      <c r="G213" s="636"/>
      <c r="H213" s="636"/>
      <c r="I213" s="636"/>
      <c r="J213" s="636"/>
      <c r="K213" s="1566"/>
      <c r="L213" s="636"/>
      <c r="M213" s="636"/>
      <c r="S213" s="699"/>
    </row>
    <row r="214" spans="3:19" ht="13.35" customHeight="1">
      <c r="C214" s="1567"/>
      <c r="F214" s="636"/>
      <c r="G214" s="636"/>
      <c r="H214" s="636"/>
      <c r="I214" s="636"/>
      <c r="J214" s="636"/>
      <c r="K214" s="1566"/>
      <c r="L214" s="636"/>
      <c r="M214" s="636"/>
      <c r="S214" s="699"/>
    </row>
    <row r="215" spans="3:19" ht="13.35" customHeight="1">
      <c r="C215" s="1567"/>
      <c r="F215" s="636"/>
      <c r="G215" s="636"/>
      <c r="H215" s="636"/>
      <c r="I215" s="636"/>
      <c r="J215" s="636"/>
      <c r="K215" s="1566"/>
      <c r="L215" s="636"/>
      <c r="M215" s="636"/>
      <c r="S215" s="699"/>
    </row>
    <row r="216" spans="3:19" ht="13.35" customHeight="1">
      <c r="C216" s="1567"/>
      <c r="F216" s="636"/>
      <c r="G216" s="636"/>
      <c r="H216" s="636"/>
      <c r="I216" s="636"/>
      <c r="J216" s="636"/>
      <c r="K216" s="1566"/>
      <c r="L216" s="636"/>
      <c r="M216" s="636"/>
      <c r="S216" s="699"/>
    </row>
    <row r="217" spans="3:19" ht="13.35" customHeight="1">
      <c r="C217" s="1567"/>
      <c r="F217" s="636"/>
      <c r="G217" s="636"/>
      <c r="H217" s="636"/>
      <c r="I217" s="636"/>
      <c r="J217" s="636"/>
      <c r="K217" s="1566"/>
      <c r="L217" s="636"/>
      <c r="M217" s="636"/>
      <c r="S217" s="699"/>
    </row>
    <row r="218" spans="3:19" ht="13.35" customHeight="1">
      <c r="C218" s="1567"/>
      <c r="F218" s="636"/>
      <c r="G218" s="636"/>
      <c r="H218" s="636"/>
      <c r="I218" s="636"/>
      <c r="J218" s="636"/>
      <c r="K218" s="1566"/>
      <c r="L218" s="636"/>
      <c r="M218" s="636"/>
      <c r="S218" s="699"/>
    </row>
    <row r="219" spans="3:19" ht="13.35" customHeight="1">
      <c r="C219" s="1567"/>
      <c r="F219" s="636"/>
      <c r="G219" s="636"/>
      <c r="H219" s="636"/>
      <c r="I219" s="636"/>
      <c r="J219" s="636"/>
      <c r="K219" s="1566"/>
      <c r="L219" s="636"/>
      <c r="M219" s="636"/>
      <c r="S219" s="699"/>
    </row>
    <row r="220" spans="3:19" ht="13.35" customHeight="1">
      <c r="C220" s="1567"/>
      <c r="F220" s="636"/>
      <c r="G220" s="636"/>
      <c r="H220" s="636"/>
      <c r="I220" s="636"/>
      <c r="J220" s="636"/>
      <c r="K220" s="1566"/>
      <c r="L220" s="636"/>
      <c r="M220" s="636"/>
      <c r="S220" s="699"/>
    </row>
    <row r="221" spans="3:19" ht="13.35" customHeight="1">
      <c r="C221" s="1567"/>
      <c r="F221" s="636"/>
      <c r="G221" s="636"/>
      <c r="H221" s="636"/>
      <c r="I221" s="636"/>
      <c r="J221" s="636"/>
      <c r="K221" s="1566"/>
      <c r="L221" s="636"/>
      <c r="M221" s="636"/>
      <c r="S221" s="699"/>
    </row>
    <row r="222" spans="3:19" ht="13.35" customHeight="1">
      <c r="C222" s="1567"/>
      <c r="F222" s="636"/>
      <c r="G222" s="636"/>
      <c r="H222" s="636"/>
      <c r="I222" s="636"/>
      <c r="J222" s="636"/>
      <c r="K222" s="1566"/>
      <c r="L222" s="636"/>
      <c r="M222" s="636"/>
      <c r="S222" s="699"/>
    </row>
    <row r="223" spans="3:19" ht="13.35" customHeight="1">
      <c r="C223" s="1567"/>
      <c r="F223" s="636"/>
      <c r="G223" s="636"/>
      <c r="H223" s="636"/>
      <c r="I223" s="636"/>
      <c r="J223" s="636"/>
      <c r="K223" s="1566"/>
      <c r="L223" s="636"/>
      <c r="M223" s="636"/>
      <c r="S223" s="699"/>
    </row>
    <row r="224" spans="3:19" ht="13.35" customHeight="1">
      <c r="C224" s="1567"/>
      <c r="F224" s="636"/>
      <c r="G224" s="636"/>
      <c r="H224" s="636"/>
      <c r="I224" s="636"/>
      <c r="J224" s="636"/>
      <c r="K224" s="1566"/>
      <c r="L224" s="636"/>
      <c r="M224" s="636"/>
      <c r="S224" s="699"/>
    </row>
    <row r="225" spans="3:19" ht="13.35" customHeight="1">
      <c r="C225" s="1567"/>
      <c r="F225" s="636"/>
      <c r="G225" s="636"/>
      <c r="H225" s="636"/>
      <c r="I225" s="636"/>
      <c r="J225" s="636"/>
      <c r="K225" s="1566"/>
      <c r="L225" s="636"/>
      <c r="M225" s="636"/>
      <c r="S225" s="699"/>
    </row>
    <row r="226" spans="3:19" ht="13.35" customHeight="1">
      <c r="C226" s="1567"/>
      <c r="F226" s="636"/>
      <c r="G226" s="636"/>
      <c r="H226" s="636"/>
      <c r="I226" s="636"/>
      <c r="J226" s="636"/>
      <c r="K226" s="1566"/>
      <c r="L226" s="636"/>
      <c r="M226" s="636"/>
      <c r="S226" s="699"/>
    </row>
    <row r="227" spans="3:19" ht="13.35" customHeight="1">
      <c r="C227" s="1567"/>
      <c r="F227" s="636"/>
      <c r="G227" s="636"/>
      <c r="H227" s="636"/>
      <c r="I227" s="636"/>
      <c r="J227" s="636"/>
      <c r="K227" s="1566"/>
      <c r="L227" s="636"/>
      <c r="M227" s="636"/>
      <c r="S227" s="699"/>
    </row>
    <row r="228" spans="3:19" ht="13.35" customHeight="1">
      <c r="C228" s="1567"/>
      <c r="F228" s="636"/>
      <c r="G228" s="636"/>
      <c r="H228" s="636"/>
      <c r="I228" s="636"/>
      <c r="J228" s="636"/>
      <c r="K228" s="1566"/>
      <c r="L228" s="636"/>
      <c r="M228" s="636"/>
      <c r="S228" s="699"/>
    </row>
    <row r="229" spans="3:19" ht="13.35" customHeight="1">
      <c r="C229" s="1567"/>
      <c r="F229" s="636"/>
      <c r="G229" s="636"/>
      <c r="H229" s="636"/>
      <c r="I229" s="636"/>
      <c r="J229" s="636"/>
      <c r="K229" s="1566"/>
      <c r="L229" s="636"/>
      <c r="M229" s="636"/>
      <c r="S229" s="699"/>
    </row>
    <row r="230" spans="3:19" ht="13.35" customHeight="1">
      <c r="C230" s="1567"/>
      <c r="F230" s="636"/>
      <c r="G230" s="636"/>
      <c r="H230" s="636"/>
      <c r="I230" s="636"/>
      <c r="J230" s="636"/>
      <c r="K230" s="1566"/>
      <c r="L230" s="636"/>
      <c r="M230" s="636"/>
      <c r="S230" s="699"/>
    </row>
    <row r="231" spans="3:19" ht="13.35" customHeight="1">
      <c r="C231" s="1567"/>
      <c r="F231" s="636"/>
      <c r="G231" s="636"/>
      <c r="H231" s="636"/>
      <c r="I231" s="636"/>
      <c r="J231" s="636"/>
      <c r="K231" s="1566"/>
      <c r="L231" s="636"/>
      <c r="M231" s="636"/>
      <c r="S231" s="699"/>
    </row>
    <row r="232" spans="3:19" ht="13.35" customHeight="1">
      <c r="C232" s="1567"/>
      <c r="F232" s="636"/>
      <c r="G232" s="636"/>
      <c r="H232" s="636"/>
      <c r="I232" s="636"/>
      <c r="J232" s="636"/>
      <c r="K232" s="1566"/>
      <c r="L232" s="636"/>
      <c r="M232" s="636"/>
      <c r="S232" s="699"/>
    </row>
    <row r="233" spans="3:19" ht="13.35" customHeight="1">
      <c r="C233" s="1567"/>
      <c r="F233" s="636"/>
      <c r="G233" s="636"/>
      <c r="H233" s="636"/>
      <c r="I233" s="636"/>
      <c r="J233" s="636"/>
      <c r="K233" s="1566"/>
      <c r="L233" s="636"/>
      <c r="M233" s="636"/>
      <c r="S233" s="699"/>
    </row>
    <row r="234" spans="3:19" ht="13.35" customHeight="1">
      <c r="C234" s="1567"/>
      <c r="F234" s="636"/>
      <c r="G234" s="636"/>
      <c r="H234" s="636"/>
      <c r="I234" s="636"/>
      <c r="J234" s="636"/>
      <c r="K234" s="1566"/>
      <c r="L234" s="636"/>
      <c r="M234" s="636"/>
      <c r="S234" s="699"/>
    </row>
    <row r="235" spans="3:19" ht="13.35" customHeight="1">
      <c r="C235" s="1567"/>
      <c r="F235" s="636"/>
      <c r="G235" s="636"/>
      <c r="H235" s="636"/>
      <c r="I235" s="636"/>
      <c r="J235" s="636"/>
      <c r="K235" s="1566"/>
      <c r="L235" s="636"/>
      <c r="M235" s="636"/>
      <c r="S235" s="699"/>
    </row>
    <row r="236" spans="3:19" ht="13.35" customHeight="1">
      <c r="C236" s="1567"/>
      <c r="F236" s="636"/>
      <c r="G236" s="636"/>
      <c r="H236" s="636"/>
      <c r="I236" s="636"/>
      <c r="J236" s="636"/>
      <c r="K236" s="1566"/>
      <c r="L236" s="636"/>
      <c r="M236" s="636"/>
      <c r="S236" s="699"/>
    </row>
    <row r="237" spans="3:19" ht="13.35" customHeight="1">
      <c r="C237" s="1567"/>
      <c r="F237" s="636"/>
      <c r="G237" s="636"/>
      <c r="H237" s="636"/>
      <c r="I237" s="636"/>
      <c r="J237" s="636"/>
      <c r="K237" s="1566"/>
      <c r="L237" s="636"/>
      <c r="M237" s="636"/>
      <c r="S237" s="699"/>
    </row>
    <row r="238" spans="3:19" ht="13.35" customHeight="1">
      <c r="C238" s="1567"/>
      <c r="F238" s="636"/>
      <c r="G238" s="636"/>
      <c r="H238" s="636"/>
      <c r="I238" s="636"/>
      <c r="J238" s="636"/>
      <c r="K238" s="1566"/>
      <c r="L238" s="636"/>
      <c r="M238" s="636"/>
      <c r="S238" s="699"/>
    </row>
    <row r="239" spans="3:19" ht="13.35" customHeight="1">
      <c r="C239" s="1567"/>
      <c r="F239" s="636"/>
      <c r="G239" s="636"/>
      <c r="H239" s="636"/>
      <c r="I239" s="636"/>
      <c r="J239" s="636"/>
      <c r="K239" s="1566"/>
      <c r="L239" s="636"/>
      <c r="M239" s="636"/>
      <c r="S239" s="699"/>
    </row>
    <row r="240" spans="3:19" ht="13.35" customHeight="1">
      <c r="C240" s="1567"/>
      <c r="F240" s="636"/>
      <c r="G240" s="636"/>
      <c r="H240" s="636"/>
      <c r="I240" s="636"/>
      <c r="J240" s="636"/>
      <c r="K240" s="1566"/>
      <c r="L240" s="636"/>
      <c r="M240" s="636"/>
      <c r="S240" s="699"/>
    </row>
    <row r="241" spans="3:19" ht="13.35" customHeight="1">
      <c r="C241" s="1567"/>
      <c r="F241" s="636"/>
      <c r="G241" s="636"/>
      <c r="H241" s="636"/>
      <c r="I241" s="636"/>
      <c r="J241" s="636"/>
      <c r="K241" s="1566"/>
      <c r="L241" s="636"/>
      <c r="M241" s="636"/>
      <c r="S241" s="699"/>
    </row>
    <row r="242" spans="3:19" ht="13.35" customHeight="1">
      <c r="C242" s="1567"/>
      <c r="F242" s="636"/>
      <c r="G242" s="636"/>
      <c r="H242" s="636"/>
      <c r="I242" s="636"/>
      <c r="J242" s="636"/>
      <c r="K242" s="1566"/>
      <c r="L242" s="636"/>
      <c r="M242" s="636"/>
      <c r="S242" s="699"/>
    </row>
    <row r="243" spans="3:19" ht="13.35" customHeight="1">
      <c r="C243" s="1567"/>
      <c r="F243" s="636"/>
      <c r="G243" s="636"/>
      <c r="H243" s="636"/>
      <c r="I243" s="636"/>
      <c r="J243" s="636"/>
      <c r="K243" s="1566"/>
      <c r="L243" s="636"/>
      <c r="M243" s="636"/>
      <c r="S243" s="699"/>
    </row>
    <row r="244" spans="3:19" ht="13.35" customHeight="1">
      <c r="C244" s="1567"/>
      <c r="F244" s="636"/>
      <c r="G244" s="636"/>
      <c r="H244" s="636"/>
      <c r="I244" s="636"/>
      <c r="J244" s="636"/>
      <c r="K244" s="1566"/>
      <c r="L244" s="636"/>
      <c r="M244" s="636"/>
      <c r="S244" s="699"/>
    </row>
    <row r="245" spans="3:19" ht="13.35" customHeight="1">
      <c r="C245" s="1567"/>
      <c r="F245" s="636"/>
      <c r="G245" s="636"/>
      <c r="H245" s="636"/>
      <c r="I245" s="636"/>
      <c r="J245" s="636"/>
      <c r="K245" s="1566"/>
      <c r="L245" s="636"/>
      <c r="M245" s="636"/>
      <c r="S245" s="699"/>
    </row>
    <row r="246" spans="3:19" ht="13.35" customHeight="1">
      <c r="C246" s="1567"/>
      <c r="K246" s="700"/>
      <c r="S246" s="699"/>
    </row>
    <row r="247" spans="3:19" ht="13.35" customHeight="1">
      <c r="C247" s="1567"/>
      <c r="K247" s="700"/>
      <c r="S247" s="699"/>
    </row>
    <row r="248" spans="3:19" ht="13.35" customHeight="1">
      <c r="C248" s="1567"/>
      <c r="K248" s="700"/>
      <c r="S248" s="699"/>
    </row>
    <row r="249" spans="3:19" ht="13.35" customHeight="1">
      <c r="C249" s="1567"/>
      <c r="K249" s="700"/>
      <c r="S249" s="699"/>
    </row>
    <row r="250" spans="3:19" ht="13.35" customHeight="1">
      <c r="C250" s="1567"/>
      <c r="K250" s="700"/>
      <c r="S250" s="699"/>
    </row>
    <row r="251" spans="3:19" ht="13.35" customHeight="1">
      <c r="C251" s="1567"/>
      <c r="K251" s="700"/>
      <c r="S251" s="699"/>
    </row>
    <row r="252" spans="3:19" ht="13.35" customHeight="1">
      <c r="C252" s="1567"/>
      <c r="K252" s="700"/>
      <c r="S252" s="699"/>
    </row>
    <row r="253" spans="3:19" ht="13.35" customHeight="1">
      <c r="C253" s="1567"/>
      <c r="K253" s="700"/>
      <c r="S253" s="699"/>
    </row>
    <row r="254" spans="3:19" ht="13.35" customHeight="1">
      <c r="C254" s="1567"/>
      <c r="K254" s="700"/>
      <c r="S254" s="699"/>
    </row>
    <row r="255" spans="3:19" ht="13.35" customHeight="1">
      <c r="C255" s="1567"/>
      <c r="K255" s="700"/>
      <c r="S255" s="699"/>
    </row>
    <row r="256" spans="3:19" ht="13.35" customHeight="1">
      <c r="C256" s="1567"/>
      <c r="K256" s="700"/>
      <c r="S256" s="699"/>
    </row>
    <row r="257" spans="3:19" ht="13.35" customHeight="1">
      <c r="C257" s="1567"/>
      <c r="K257" s="700"/>
      <c r="S257" s="699"/>
    </row>
    <row r="258" spans="3:19" ht="13.35" customHeight="1">
      <c r="C258" s="1567"/>
      <c r="K258" s="700"/>
      <c r="S258" s="699"/>
    </row>
    <row r="259" spans="3:19" ht="13.35" customHeight="1">
      <c r="C259" s="1567"/>
      <c r="K259" s="700"/>
      <c r="S259" s="699"/>
    </row>
    <row r="260" spans="3:19" ht="13.35" customHeight="1">
      <c r="C260" s="1567"/>
      <c r="K260" s="700"/>
      <c r="S260" s="699"/>
    </row>
    <row r="261" spans="3:19" ht="13.35" customHeight="1">
      <c r="C261" s="1567"/>
      <c r="K261" s="700"/>
      <c r="S261" s="699"/>
    </row>
    <row r="262" spans="3:19" ht="13.35" customHeight="1">
      <c r="C262" s="1567"/>
      <c r="K262" s="700"/>
      <c r="S262" s="699"/>
    </row>
    <row r="263" spans="3:19" ht="13.35" customHeight="1">
      <c r="C263" s="1567"/>
      <c r="K263" s="700"/>
      <c r="S263" s="699"/>
    </row>
    <row r="264" spans="3:19" ht="13.35" customHeight="1">
      <c r="C264" s="1567"/>
      <c r="K264" s="700"/>
      <c r="S264" s="699"/>
    </row>
    <row r="265" spans="3:19" ht="13.35" customHeight="1">
      <c r="C265" s="1567"/>
      <c r="K265" s="700"/>
      <c r="S265" s="699"/>
    </row>
    <row r="266" spans="3:19" ht="13.35" customHeight="1">
      <c r="C266" s="1567"/>
      <c r="K266" s="700"/>
      <c r="S266" s="699"/>
    </row>
    <row r="267" spans="3:19" ht="13.35" customHeight="1">
      <c r="C267" s="1567" t="s">
        <v>232</v>
      </c>
      <c r="K267" s="700"/>
      <c r="S267" s="699"/>
    </row>
    <row r="268" spans="3:19" ht="13.35" customHeight="1">
      <c r="C268" s="1567"/>
      <c r="K268" s="700"/>
      <c r="S268" s="699"/>
    </row>
    <row r="269" spans="3:19" ht="13.35" customHeight="1">
      <c r="C269" s="1567"/>
      <c r="K269" s="700"/>
      <c r="S269" s="699"/>
    </row>
    <row r="270" spans="3:19" ht="13.35" customHeight="1">
      <c r="C270" s="1567"/>
      <c r="K270" s="700"/>
      <c r="S270" s="699"/>
    </row>
    <row r="271" spans="3:19" ht="13.35" customHeight="1">
      <c r="C271" s="1567"/>
      <c r="K271" s="700"/>
      <c r="S271" s="699"/>
    </row>
    <row r="272" spans="3:19" ht="13.35" customHeight="1">
      <c r="C272" s="1567"/>
      <c r="K272" s="700"/>
      <c r="S272" s="699"/>
    </row>
    <row r="273" spans="3:19" ht="13.35" customHeight="1">
      <c r="C273" s="1567"/>
      <c r="K273" s="700"/>
      <c r="S273" s="699"/>
    </row>
    <row r="274" spans="3:19" ht="13.35" customHeight="1">
      <c r="C274" s="1567"/>
      <c r="K274" s="700"/>
      <c r="S274" s="699"/>
    </row>
    <row r="275" spans="3:19" ht="13.35" customHeight="1">
      <c r="C275" s="1567"/>
      <c r="K275" s="700"/>
      <c r="S275" s="699"/>
    </row>
    <row r="276" spans="3:19" ht="13.35" customHeight="1">
      <c r="C276" s="1567"/>
      <c r="K276" s="700"/>
      <c r="S276" s="699"/>
    </row>
    <row r="277" spans="3:19" ht="13.35" customHeight="1">
      <c r="C277" s="1567"/>
      <c r="K277" s="700"/>
      <c r="S277" s="699"/>
    </row>
    <row r="278" spans="3:19" ht="13.35" customHeight="1">
      <c r="C278" s="1567"/>
      <c r="K278" s="700"/>
      <c r="S278" s="699"/>
    </row>
    <row r="279" spans="3:19" ht="13.35" customHeight="1">
      <c r="C279" s="1567"/>
      <c r="K279" s="700"/>
      <c r="S279" s="699"/>
    </row>
    <row r="280" spans="3:19" ht="13.35" customHeight="1">
      <c r="C280" s="1567"/>
      <c r="K280" s="700"/>
      <c r="S280" s="699"/>
    </row>
    <row r="281" spans="3:19" ht="13.35" customHeight="1">
      <c r="C281" s="1567"/>
      <c r="K281" s="700"/>
      <c r="S281" s="699"/>
    </row>
    <row r="282" spans="3:19" ht="13.35" customHeight="1">
      <c r="C282" s="1567"/>
      <c r="K282" s="700"/>
      <c r="S282" s="699"/>
    </row>
    <row r="283" spans="3:19" ht="13.35" customHeight="1">
      <c r="C283" s="1567"/>
      <c r="K283" s="700"/>
      <c r="S283" s="699"/>
    </row>
    <row r="284" spans="3:19" ht="13.35" customHeight="1">
      <c r="C284" s="1567"/>
      <c r="K284" s="700"/>
      <c r="S284" s="699"/>
    </row>
    <row r="285" spans="3:19" ht="13.35" customHeight="1">
      <c r="C285" s="1567"/>
      <c r="K285" s="700"/>
      <c r="S285" s="699"/>
    </row>
    <row r="286" spans="3:19" ht="13.35" customHeight="1">
      <c r="C286" s="1567"/>
      <c r="K286" s="700"/>
      <c r="S286" s="699"/>
    </row>
    <row r="287" spans="3:19" ht="13.35" customHeight="1">
      <c r="C287" s="1567"/>
      <c r="K287" s="700"/>
      <c r="S287" s="699"/>
    </row>
    <row r="288" spans="3:19" ht="13.35" customHeight="1">
      <c r="C288" s="1567"/>
      <c r="K288" s="700"/>
      <c r="S288" s="699"/>
    </row>
    <row r="289" spans="3:19" ht="13.35" customHeight="1">
      <c r="C289" s="1567"/>
      <c r="K289" s="700"/>
      <c r="S289" s="699"/>
    </row>
    <row r="290" spans="3:19" ht="13.35" customHeight="1">
      <c r="C290" s="1567"/>
      <c r="K290" s="700"/>
      <c r="S290" s="699"/>
    </row>
    <row r="291" spans="3:19" ht="13.35" customHeight="1">
      <c r="C291" s="1567"/>
      <c r="K291" s="700"/>
      <c r="S291" s="699"/>
    </row>
    <row r="292" spans="3:19" ht="13.35" customHeight="1">
      <c r="C292" s="1567"/>
      <c r="K292" s="700"/>
      <c r="S292" s="699"/>
    </row>
    <row r="293" spans="3:19" ht="13.35" customHeight="1">
      <c r="C293" s="1567"/>
      <c r="K293" s="700"/>
      <c r="S293" s="699"/>
    </row>
    <row r="294" spans="3:19" ht="13.35" customHeight="1">
      <c r="C294" s="1567"/>
      <c r="K294" s="700"/>
      <c r="S294" s="699"/>
    </row>
    <row r="295" spans="3:19" ht="13.35" customHeight="1">
      <c r="C295" s="1567"/>
      <c r="K295" s="700"/>
      <c r="S295" s="699"/>
    </row>
    <row r="296" spans="3:19" ht="13.35" customHeight="1">
      <c r="C296" s="1567"/>
      <c r="K296" s="700"/>
      <c r="S296" s="699"/>
    </row>
    <row r="297" spans="3:19" ht="13.35" customHeight="1">
      <c r="C297" s="1567"/>
      <c r="K297" s="700"/>
      <c r="S297" s="699"/>
    </row>
    <row r="298" spans="3:19" ht="13.35" customHeight="1">
      <c r="C298" s="1567"/>
      <c r="K298" s="700"/>
      <c r="S298" s="699"/>
    </row>
    <row r="299" spans="3:19" ht="13.35" customHeight="1">
      <c r="C299" s="1567"/>
      <c r="K299" s="700"/>
      <c r="S299" s="699"/>
    </row>
    <row r="300" spans="3:19" ht="13.35" customHeight="1">
      <c r="C300" s="1567"/>
      <c r="K300" s="700"/>
      <c r="S300" s="699"/>
    </row>
    <row r="301" spans="3:19" ht="13.35" customHeight="1">
      <c r="C301" s="1567"/>
      <c r="K301" s="700"/>
      <c r="S301" s="699"/>
    </row>
    <row r="302" spans="3:19" ht="13.35" customHeight="1">
      <c r="C302" s="1567"/>
      <c r="K302" s="700"/>
      <c r="S302" s="699"/>
    </row>
    <row r="303" spans="3:19" ht="13.35" customHeight="1">
      <c r="C303" s="1567"/>
      <c r="K303" s="700"/>
      <c r="S303" s="699"/>
    </row>
    <row r="304" spans="3:19" ht="13.35" customHeight="1">
      <c r="C304" s="1567"/>
      <c r="K304" s="700"/>
      <c r="S304" s="699"/>
    </row>
    <row r="305" spans="3:19" ht="13.35" customHeight="1">
      <c r="C305" s="1567"/>
      <c r="K305" s="700"/>
      <c r="S305" s="699"/>
    </row>
    <row r="306" spans="3:19" ht="13.35" customHeight="1">
      <c r="C306" s="1567"/>
      <c r="K306" s="700"/>
      <c r="S306" s="699"/>
    </row>
    <row r="307" spans="3:19" ht="13.35" customHeight="1">
      <c r="C307" s="1567"/>
      <c r="K307" s="700"/>
      <c r="S307" s="699"/>
    </row>
    <row r="308" spans="3:19" ht="13.35" customHeight="1">
      <c r="C308" s="1567"/>
      <c r="K308" s="700"/>
      <c r="S308" s="699"/>
    </row>
    <row r="309" spans="3:19" ht="13.35" customHeight="1">
      <c r="C309" s="1567"/>
      <c r="K309" s="700"/>
      <c r="S309" s="699"/>
    </row>
    <row r="310" spans="3:19" ht="13.35" customHeight="1">
      <c r="C310" s="1567"/>
      <c r="K310" s="700"/>
      <c r="S310" s="699"/>
    </row>
    <row r="311" spans="3:19" ht="13.35" customHeight="1">
      <c r="C311" s="1567"/>
      <c r="K311" s="700"/>
      <c r="S311" s="699"/>
    </row>
    <row r="312" spans="3:19" ht="13.35" customHeight="1">
      <c r="C312" s="1567"/>
      <c r="K312" s="700"/>
      <c r="S312" s="699"/>
    </row>
    <row r="313" spans="3:19" ht="13.35" customHeight="1">
      <c r="C313" s="1567"/>
      <c r="K313" s="700"/>
      <c r="S313" s="699"/>
    </row>
    <row r="314" spans="3:19" ht="13.35" customHeight="1">
      <c r="C314" s="1567"/>
      <c r="K314" s="700"/>
      <c r="S314" s="699"/>
    </row>
    <row r="315" spans="3:19" ht="13.35" customHeight="1">
      <c r="C315" s="1567"/>
      <c r="K315" s="700"/>
      <c r="S315" s="699"/>
    </row>
    <row r="316" spans="3:19" ht="13.35" customHeight="1">
      <c r="C316" s="1567"/>
      <c r="K316" s="700"/>
      <c r="S316" s="699"/>
    </row>
    <row r="317" spans="3:19" ht="13.35" customHeight="1">
      <c r="C317" s="1567"/>
      <c r="K317" s="700"/>
      <c r="S317" s="699"/>
    </row>
    <row r="318" spans="3:19" ht="13.35" customHeight="1">
      <c r="C318" s="1567"/>
      <c r="K318" s="700"/>
      <c r="S318" s="699"/>
    </row>
    <row r="319" spans="3:19" ht="13.35" customHeight="1">
      <c r="C319" s="1567"/>
      <c r="K319" s="700"/>
      <c r="S319" s="699"/>
    </row>
    <row r="320" spans="3:19" ht="13.35" customHeight="1">
      <c r="C320" s="1567"/>
      <c r="K320" s="700"/>
      <c r="S320" s="699"/>
    </row>
    <row r="321" spans="3:19" ht="13.35" customHeight="1">
      <c r="C321" s="1567"/>
      <c r="K321" s="700"/>
      <c r="S321" s="699"/>
    </row>
    <row r="322" spans="3:19" ht="13.35" customHeight="1">
      <c r="C322" s="1567"/>
      <c r="K322" s="700"/>
      <c r="S322" s="699"/>
    </row>
    <row r="323" spans="3:19" ht="13.35" customHeight="1">
      <c r="C323" s="1567"/>
      <c r="K323" s="700"/>
      <c r="S323" s="699"/>
    </row>
    <row r="324" spans="3:19" ht="13.35" customHeight="1">
      <c r="C324" s="1567"/>
      <c r="K324" s="700"/>
      <c r="S324" s="699"/>
    </row>
    <row r="325" spans="3:19" ht="13.35" customHeight="1">
      <c r="C325" s="1567"/>
      <c r="K325" s="700"/>
      <c r="S325" s="699"/>
    </row>
    <row r="326" spans="3:19" ht="13.35" customHeight="1">
      <c r="C326" s="1567"/>
      <c r="K326" s="700"/>
      <c r="S326" s="699"/>
    </row>
    <row r="327" spans="3:19" ht="13.35" customHeight="1">
      <c r="C327" s="1567"/>
      <c r="K327" s="700"/>
      <c r="S327" s="699"/>
    </row>
    <row r="328" spans="3:19" ht="13.35" customHeight="1">
      <c r="C328" s="1567"/>
      <c r="K328" s="700"/>
      <c r="S328" s="699"/>
    </row>
    <row r="329" spans="3:19" ht="13.35" customHeight="1">
      <c r="C329" s="1567"/>
      <c r="K329" s="700"/>
      <c r="S329" s="699"/>
    </row>
    <row r="330" spans="3:19" ht="13.35" customHeight="1">
      <c r="C330" s="1567"/>
      <c r="K330" s="700"/>
      <c r="S330" s="699"/>
    </row>
    <row r="331" spans="3:19" ht="13.35" customHeight="1">
      <c r="C331" s="1567"/>
      <c r="K331" s="700"/>
      <c r="S331" s="699"/>
    </row>
    <row r="332" spans="3:19" ht="13.35" customHeight="1">
      <c r="C332" s="1567"/>
      <c r="K332" s="700"/>
      <c r="S332" s="699"/>
    </row>
    <row r="333" spans="3:19" ht="13.35" customHeight="1">
      <c r="C333" s="1567"/>
      <c r="K333" s="700"/>
      <c r="S333" s="699"/>
    </row>
    <row r="334" spans="3:19" ht="13.35" customHeight="1">
      <c r="C334" s="1567"/>
      <c r="K334" s="700"/>
      <c r="S334" s="699"/>
    </row>
    <row r="335" spans="3:19" ht="13.35" customHeight="1">
      <c r="C335" s="1567"/>
      <c r="K335" s="700"/>
      <c r="S335" s="699"/>
    </row>
    <row r="336" spans="3:19" ht="13.35" customHeight="1">
      <c r="C336" s="1567"/>
      <c r="K336" s="700"/>
      <c r="S336" s="699"/>
    </row>
    <row r="337" spans="3:19" ht="13.35" customHeight="1">
      <c r="C337" s="1567"/>
      <c r="K337" s="700"/>
      <c r="S337" s="699"/>
    </row>
    <row r="338" spans="3:19" ht="13.35" customHeight="1">
      <c r="C338" s="1567"/>
      <c r="K338" s="700"/>
      <c r="S338" s="699"/>
    </row>
    <row r="339" spans="3:19" ht="13.35" customHeight="1">
      <c r="C339" s="1567"/>
      <c r="K339" s="700"/>
      <c r="S339" s="699"/>
    </row>
    <row r="340" spans="3:19" ht="13.35" customHeight="1">
      <c r="C340" s="1567"/>
      <c r="K340" s="700"/>
      <c r="S340" s="699"/>
    </row>
    <row r="341" spans="3:19" ht="13.35" customHeight="1">
      <c r="C341" s="1567"/>
      <c r="K341" s="700"/>
      <c r="S341" s="699"/>
    </row>
    <row r="342" spans="3:19" ht="13.35" customHeight="1">
      <c r="C342" s="1567"/>
      <c r="K342" s="700"/>
      <c r="S342" s="699"/>
    </row>
    <row r="343" spans="3:19" ht="13.35" customHeight="1">
      <c r="C343" s="1567"/>
      <c r="K343" s="700"/>
      <c r="S343" s="699"/>
    </row>
    <row r="344" spans="3:19" ht="13.35" customHeight="1">
      <c r="C344" s="1567"/>
      <c r="K344" s="700"/>
      <c r="S344" s="699"/>
    </row>
    <row r="345" spans="3:19" ht="13.35" customHeight="1">
      <c r="C345" s="1567"/>
      <c r="K345" s="700"/>
      <c r="S345" s="699"/>
    </row>
    <row r="346" spans="3:19" ht="13.35" customHeight="1">
      <c r="C346" s="1567" t="s">
        <v>232</v>
      </c>
      <c r="K346" s="700"/>
      <c r="S346" s="699"/>
    </row>
    <row r="347" spans="3:19" ht="13.35" customHeight="1">
      <c r="C347" s="1567"/>
      <c r="K347" s="700"/>
      <c r="S347" s="699"/>
    </row>
    <row r="348" spans="3:19" ht="13.35" customHeight="1">
      <c r="C348" s="1567"/>
      <c r="K348" s="700"/>
      <c r="S348" s="699"/>
    </row>
    <row r="349" spans="3:19" ht="13.35" customHeight="1">
      <c r="C349" s="1567"/>
      <c r="K349" s="700"/>
      <c r="S349" s="699"/>
    </row>
    <row r="350" spans="3:19" ht="13.35" customHeight="1">
      <c r="C350" s="1567"/>
      <c r="K350" s="700"/>
      <c r="S350" s="699"/>
    </row>
    <row r="351" spans="3:19" ht="13.35" customHeight="1">
      <c r="C351" s="1567"/>
      <c r="K351" s="700"/>
      <c r="S351" s="699"/>
    </row>
    <row r="352" spans="3:19" ht="13.35" customHeight="1">
      <c r="C352" s="1567"/>
      <c r="K352" s="700"/>
      <c r="S352" s="699"/>
    </row>
    <row r="353" spans="3:19" ht="13.35" customHeight="1">
      <c r="C353" s="1567"/>
      <c r="K353" s="700"/>
      <c r="S353" s="699"/>
    </row>
    <row r="354" spans="3:19" ht="13.35" customHeight="1">
      <c r="C354" s="1567"/>
      <c r="K354" s="700"/>
      <c r="S354" s="699"/>
    </row>
    <row r="355" spans="3:19" ht="13.35" customHeight="1">
      <c r="C355" s="1567"/>
      <c r="K355" s="700"/>
      <c r="S355" s="699"/>
    </row>
    <row r="356" spans="3:19" ht="13.35" customHeight="1">
      <c r="C356" s="1567"/>
      <c r="K356" s="700"/>
      <c r="S356" s="699"/>
    </row>
    <row r="357" spans="3:19" ht="13.35" customHeight="1">
      <c r="C357" s="1567"/>
      <c r="K357" s="700"/>
      <c r="S357" s="699"/>
    </row>
    <row r="358" spans="3:19" ht="13.35" customHeight="1">
      <c r="C358" s="1567"/>
      <c r="K358" s="700"/>
      <c r="S358" s="699"/>
    </row>
    <row r="359" spans="3:19" ht="13.35" customHeight="1">
      <c r="C359" s="1567"/>
      <c r="K359" s="700"/>
      <c r="S359" s="699"/>
    </row>
    <row r="360" spans="3:19" ht="13.35" customHeight="1">
      <c r="C360" s="1567"/>
      <c r="K360" s="700"/>
      <c r="S360" s="699"/>
    </row>
    <row r="361" spans="3:19" ht="13.35" customHeight="1">
      <c r="C361" s="1567"/>
      <c r="K361" s="700"/>
      <c r="S361" s="699"/>
    </row>
    <row r="362" spans="3:19" ht="13.35" customHeight="1">
      <c r="C362" s="1567"/>
      <c r="K362" s="700"/>
      <c r="S362" s="699"/>
    </row>
    <row r="363" spans="3:19" ht="13.35" customHeight="1">
      <c r="C363" s="1567"/>
      <c r="K363" s="700"/>
      <c r="S363" s="699"/>
    </row>
    <row r="364" spans="3:19" ht="13.35" customHeight="1">
      <c r="C364" s="1567"/>
      <c r="K364" s="700"/>
      <c r="S364" s="699"/>
    </row>
    <row r="365" spans="3:19" ht="13.35" customHeight="1">
      <c r="C365" s="1567"/>
      <c r="K365" s="700"/>
      <c r="S365" s="699"/>
    </row>
    <row r="366" spans="3:19" ht="13.35" customHeight="1">
      <c r="C366" s="1567"/>
      <c r="K366" s="700"/>
      <c r="S366" s="699"/>
    </row>
    <row r="367" spans="3:19" ht="13.35" customHeight="1">
      <c r="C367" s="1567"/>
      <c r="K367" s="700"/>
      <c r="S367" s="699"/>
    </row>
    <row r="368" spans="3:19" ht="13.35" customHeight="1">
      <c r="C368" s="1567"/>
      <c r="K368" s="700"/>
      <c r="S368" s="699"/>
    </row>
    <row r="369" spans="3:19" ht="13.35" customHeight="1">
      <c r="C369" s="1567"/>
      <c r="K369" s="700"/>
      <c r="S369" s="699"/>
    </row>
    <row r="370" spans="3:19" ht="13.35" customHeight="1">
      <c r="C370" s="1567"/>
      <c r="K370" s="700"/>
      <c r="S370" s="699"/>
    </row>
    <row r="371" spans="3:19" ht="13.35" customHeight="1">
      <c r="C371" s="1567"/>
      <c r="K371" s="700"/>
      <c r="S371" s="699"/>
    </row>
    <row r="372" spans="3:19" ht="13.35" customHeight="1">
      <c r="C372" s="1567"/>
      <c r="K372" s="700"/>
      <c r="S372" s="699"/>
    </row>
    <row r="373" spans="3:19" ht="13.35" customHeight="1">
      <c r="C373" s="1567"/>
      <c r="K373" s="700"/>
      <c r="S373" s="699"/>
    </row>
    <row r="374" spans="3:19" ht="13.35" customHeight="1">
      <c r="C374" s="1567"/>
      <c r="K374" s="700"/>
      <c r="S374" s="699"/>
    </row>
    <row r="375" spans="3:19" ht="13.35" customHeight="1">
      <c r="C375" s="1567"/>
      <c r="K375" s="700"/>
      <c r="S375" s="699"/>
    </row>
    <row r="376" spans="3:19" ht="13.35" customHeight="1">
      <c r="C376" s="1567"/>
      <c r="K376" s="700"/>
      <c r="S376" s="699"/>
    </row>
    <row r="377" spans="3:19" ht="13.35" customHeight="1">
      <c r="C377" s="1567"/>
      <c r="K377" s="700"/>
      <c r="S377" s="699"/>
    </row>
    <row r="378" spans="3:19" ht="13.35" customHeight="1">
      <c r="C378" s="1567"/>
      <c r="K378" s="700"/>
      <c r="S378" s="699"/>
    </row>
    <row r="379" spans="3:19" ht="13.35" customHeight="1">
      <c r="C379" s="1567"/>
      <c r="K379" s="700"/>
      <c r="S379" s="699"/>
    </row>
    <row r="380" spans="3:19" ht="13.35" customHeight="1">
      <c r="C380" s="1567"/>
      <c r="K380" s="700"/>
      <c r="S380" s="699"/>
    </row>
    <row r="381" spans="3:19" ht="13.35" customHeight="1">
      <c r="C381" s="1567"/>
      <c r="K381" s="700"/>
      <c r="S381" s="699"/>
    </row>
    <row r="382" spans="3:19" ht="13.35" customHeight="1">
      <c r="C382" s="1567"/>
      <c r="K382" s="700"/>
      <c r="S382" s="699"/>
    </row>
    <row r="383" spans="3:19" ht="13.35" customHeight="1">
      <c r="C383" s="1567"/>
      <c r="K383" s="700"/>
      <c r="S383" s="699"/>
    </row>
    <row r="384" spans="3:19" ht="13.35" customHeight="1">
      <c r="C384" s="1567"/>
      <c r="K384" s="700"/>
      <c r="S384" s="699"/>
    </row>
    <row r="385" spans="3:19" ht="13.35" customHeight="1">
      <c r="C385" s="1567"/>
      <c r="K385" s="700"/>
      <c r="S385" s="699"/>
    </row>
    <row r="386" spans="3:19" ht="13.35" customHeight="1">
      <c r="C386" s="1567"/>
      <c r="K386" s="700"/>
      <c r="S386" s="699"/>
    </row>
    <row r="387" spans="3:19" ht="13.35" customHeight="1">
      <c r="C387" s="1567"/>
      <c r="K387" s="700"/>
      <c r="S387" s="699"/>
    </row>
    <row r="388" spans="3:19" ht="13.35" customHeight="1">
      <c r="C388" s="1567"/>
      <c r="K388" s="700"/>
      <c r="S388" s="699"/>
    </row>
    <row r="389" spans="3:19" ht="13.35" customHeight="1">
      <c r="C389" s="1567"/>
      <c r="K389" s="700"/>
      <c r="S389" s="699"/>
    </row>
    <row r="390" spans="3:19" ht="13.35" customHeight="1">
      <c r="C390" s="1567"/>
      <c r="K390" s="700"/>
      <c r="S390" s="699"/>
    </row>
    <row r="391" spans="3:19" ht="13.35" customHeight="1">
      <c r="C391" s="1567"/>
      <c r="K391" s="700"/>
      <c r="S391" s="699"/>
    </row>
    <row r="392" spans="3:19" ht="13.35" customHeight="1">
      <c r="C392" s="1567"/>
      <c r="K392" s="700"/>
      <c r="S392" s="699"/>
    </row>
    <row r="393" spans="3:19" ht="13.35" customHeight="1">
      <c r="C393" s="1567"/>
      <c r="K393" s="700"/>
      <c r="S393" s="699"/>
    </row>
    <row r="394" spans="3:19" ht="13.35" customHeight="1">
      <c r="C394" s="1567"/>
      <c r="K394" s="700"/>
      <c r="S394" s="699"/>
    </row>
    <row r="395" spans="3:19" ht="13.35" customHeight="1">
      <c r="C395" s="1567"/>
      <c r="K395" s="700"/>
      <c r="S395" s="699"/>
    </row>
    <row r="396" spans="3:19" ht="13.35" customHeight="1">
      <c r="C396" s="1567"/>
      <c r="K396" s="700"/>
      <c r="S396" s="699"/>
    </row>
    <row r="397" spans="3:19" ht="13.35" customHeight="1">
      <c r="C397" s="1567"/>
      <c r="K397" s="700"/>
      <c r="S397" s="699"/>
    </row>
    <row r="398" spans="3:19" ht="13.35" customHeight="1">
      <c r="C398" s="1567"/>
      <c r="K398" s="700"/>
      <c r="S398" s="699"/>
    </row>
    <row r="399" spans="3:19" ht="13.35" customHeight="1">
      <c r="C399" s="1567"/>
      <c r="K399" s="700"/>
      <c r="S399" s="699"/>
    </row>
    <row r="400" spans="3:19" ht="13.35" customHeight="1">
      <c r="C400" s="1567"/>
      <c r="K400" s="700"/>
      <c r="S400" s="699"/>
    </row>
    <row r="401" spans="3:19" ht="13.35" customHeight="1">
      <c r="C401" s="1567"/>
      <c r="K401" s="700"/>
      <c r="S401" s="699"/>
    </row>
    <row r="402" spans="3:19" ht="13.35" customHeight="1">
      <c r="C402" s="1567"/>
      <c r="K402" s="700"/>
      <c r="S402" s="699"/>
    </row>
    <row r="403" spans="3:19" ht="13.35" customHeight="1">
      <c r="C403" s="1567"/>
      <c r="K403" s="700"/>
      <c r="S403" s="699"/>
    </row>
    <row r="404" spans="3:19" ht="13.35" customHeight="1">
      <c r="C404" s="1567"/>
      <c r="K404" s="700"/>
      <c r="S404" s="699"/>
    </row>
    <row r="405" spans="3:19" ht="13.35" customHeight="1">
      <c r="C405" s="1567"/>
      <c r="K405" s="700"/>
      <c r="S405" s="699"/>
    </row>
    <row r="406" spans="3:19" ht="13.35" customHeight="1">
      <c r="C406" s="1567"/>
      <c r="K406" s="700"/>
      <c r="S406" s="699"/>
    </row>
    <row r="407" spans="3:19" ht="13.35" customHeight="1">
      <c r="C407" s="1567"/>
      <c r="K407" s="700"/>
      <c r="S407" s="699"/>
    </row>
    <row r="408" spans="3:19" ht="13.35" customHeight="1">
      <c r="C408" s="1567"/>
      <c r="K408" s="700"/>
      <c r="S408" s="699"/>
    </row>
    <row r="409" spans="3:19" ht="13.35" customHeight="1">
      <c r="C409" s="1567"/>
      <c r="K409" s="700"/>
      <c r="S409" s="699"/>
    </row>
    <row r="410" spans="3:19" ht="13.35" customHeight="1">
      <c r="C410" s="1567"/>
      <c r="K410" s="700"/>
      <c r="S410" s="699"/>
    </row>
    <row r="411" spans="3:19" ht="13.35" customHeight="1">
      <c r="C411" s="1567"/>
      <c r="K411" s="700"/>
      <c r="S411" s="699"/>
    </row>
    <row r="412" spans="3:19" ht="13.35" customHeight="1">
      <c r="C412" s="1567"/>
      <c r="K412" s="700"/>
      <c r="S412" s="699"/>
    </row>
    <row r="413" spans="3:19" ht="13.35" customHeight="1">
      <c r="C413" s="1567"/>
      <c r="K413" s="700"/>
      <c r="S413" s="699"/>
    </row>
    <row r="414" spans="3:19" ht="13.35" customHeight="1">
      <c r="C414" s="1567"/>
      <c r="K414" s="700"/>
      <c r="S414" s="699"/>
    </row>
    <row r="415" spans="3:19" ht="13.35" customHeight="1">
      <c r="C415" s="1567"/>
      <c r="K415" s="700"/>
      <c r="S415" s="699"/>
    </row>
    <row r="416" spans="3:19" ht="13.35" customHeight="1">
      <c r="C416" s="1567"/>
      <c r="K416" s="700"/>
      <c r="S416" s="699"/>
    </row>
    <row r="417" spans="3:19" ht="13.35" customHeight="1">
      <c r="C417" s="1567"/>
      <c r="K417" s="700"/>
      <c r="S417" s="699"/>
    </row>
    <row r="418" spans="3:19" ht="13.35" customHeight="1">
      <c r="C418" s="1567"/>
      <c r="K418" s="700"/>
      <c r="S418" s="699"/>
    </row>
    <row r="419" spans="3:19" ht="13.35" customHeight="1">
      <c r="C419" s="1567"/>
      <c r="K419" s="700"/>
      <c r="S419" s="699"/>
    </row>
    <row r="420" spans="3:19" ht="13.35" customHeight="1">
      <c r="C420" s="1567"/>
      <c r="K420" s="700"/>
      <c r="S420" s="699"/>
    </row>
    <row r="421" spans="3:19" ht="13.35" customHeight="1">
      <c r="C421" s="1567"/>
      <c r="K421" s="700"/>
      <c r="S421" s="699"/>
    </row>
    <row r="422" spans="3:19" ht="13.35" customHeight="1">
      <c r="C422" s="1567"/>
      <c r="K422" s="700"/>
      <c r="S422" s="699"/>
    </row>
    <row r="423" spans="3:19" ht="13.35" customHeight="1">
      <c r="C423" s="1567"/>
      <c r="K423" s="700"/>
      <c r="S423" s="699"/>
    </row>
    <row r="424" spans="3:19" ht="13.35" customHeight="1">
      <c r="C424" s="1567"/>
      <c r="K424" s="700"/>
      <c r="S424" s="699"/>
    </row>
    <row r="425" spans="3:19" ht="13.35" customHeight="1">
      <c r="C425" s="1567" t="s">
        <v>232</v>
      </c>
      <c r="K425" s="700"/>
      <c r="S425" s="699"/>
    </row>
    <row r="426" spans="3:19" ht="13.35" customHeight="1">
      <c r="C426" s="1567"/>
      <c r="K426" s="700"/>
      <c r="S426" s="699"/>
    </row>
    <row r="427" spans="3:19" ht="13.35" customHeight="1">
      <c r="C427" s="1567"/>
      <c r="K427" s="700"/>
      <c r="S427" s="699"/>
    </row>
    <row r="428" spans="3:19" ht="13.3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3632</v>
      </c>
      <c r="C1" s="4720"/>
      <c r="D1" s="4720"/>
      <c r="E1" s="4720"/>
      <c r="F1" s="4720"/>
      <c r="G1" s="4720"/>
      <c r="H1" s="4720"/>
      <c r="I1" s="4720"/>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1" t="s">
        <v>3009</v>
      </c>
      <c r="C4" s="4721"/>
      <c r="D4" s="4721"/>
      <c r="E4" s="4726" t="s">
        <v>3010</v>
      </c>
      <c r="F4" s="4728"/>
      <c r="G4" s="4726" t="s">
        <v>587</v>
      </c>
      <c r="H4" s="4727"/>
      <c r="I4" s="4728"/>
      <c r="J4" s="1107" t="s">
        <v>2858</v>
      </c>
      <c r="K4" s="1107"/>
      <c r="L4" s="1115"/>
      <c r="M4" s="1115"/>
    </row>
    <row r="5" spans="2:13">
      <c r="B5" s="4722" t="str">
        <f>'Closing term sheet'!C8</f>
        <v>Hallmark Wagon Works, LP</v>
      </c>
      <c r="C5" s="4723"/>
      <c r="D5" s="4723"/>
      <c r="E5" s="4732"/>
      <c r="F5" s="4733"/>
      <c r="G5" s="4729" t="str">
        <f>'Closing term sheet'!C28</f>
        <v>Wagon Works</v>
      </c>
      <c r="H5" s="4730"/>
      <c r="I5" s="4731"/>
      <c r="K5" s="699"/>
    </row>
    <row r="6" spans="2:13" ht="4.5" customHeight="1">
      <c r="D6" s="1116"/>
      <c r="E6" s="1116"/>
      <c r="F6" s="1116"/>
      <c r="G6" s="1116"/>
      <c r="H6" s="1116"/>
      <c r="I6" s="1116"/>
      <c r="K6" s="699"/>
    </row>
    <row r="7" spans="2:13">
      <c r="B7" s="4715" t="s">
        <v>3011</v>
      </c>
      <c r="C7" s="4715"/>
      <c r="D7" s="1117"/>
      <c r="E7" s="1117"/>
      <c r="F7" s="1117"/>
      <c r="G7" s="1117"/>
      <c r="H7" s="4724" t="str">
        <f>'Preview term'!E9</f>
        <v>TBD</v>
      </c>
      <c r="I7" s="4725"/>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34" t="s">
        <v>3640</v>
      </c>
      <c r="I35" s="4735"/>
    </row>
    <row r="36" spans="2:9">
      <c r="B36" s="1144" t="s">
        <v>3639</v>
      </c>
      <c r="C36" s="1142"/>
      <c r="D36" s="1142"/>
      <c r="E36" s="1117"/>
      <c r="F36" s="1340"/>
      <c r="G36" s="1145"/>
      <c r="H36" s="4734"/>
      <c r="I36" s="4735"/>
    </row>
    <row r="37" spans="2:9">
      <c r="B37" s="1144" t="s">
        <v>3637</v>
      </c>
      <c r="D37" s="1142"/>
      <c r="E37" s="1117"/>
      <c r="F37" s="1341"/>
      <c r="G37" s="1145"/>
      <c r="H37" s="4734"/>
      <c r="I37" s="4735"/>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43" t="str">
        <f>'Closing term sheet'!$C$30</f>
        <v>1514 E. Cleveland Avenue</v>
      </c>
      <c r="G48" s="4744"/>
      <c r="H48" s="4744"/>
      <c r="I48" s="4745"/>
    </row>
    <row r="49" spans="2:9">
      <c r="B49" s="1133" t="s">
        <v>3026</v>
      </c>
      <c r="D49" s="1142" t="s">
        <v>3027</v>
      </c>
      <c r="E49" s="1117"/>
      <c r="F49" s="4746"/>
      <c r="G49" s="4747"/>
      <c r="H49" s="4747"/>
      <c r="I49" s="4748"/>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11" t="str">
        <f>'Part I-Project Information'!F39</f>
        <v>East Point</v>
      </c>
      <c r="D52" s="4712"/>
      <c r="E52" s="1159" t="s">
        <v>3643</v>
      </c>
      <c r="F52" s="1119" t="s">
        <v>815</v>
      </c>
      <c r="G52" s="1159" t="s">
        <v>3644</v>
      </c>
      <c r="H52" s="1160">
        <f>'Part I-Project Information'!J39</f>
        <v>303446965</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12500000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3032</v>
      </c>
      <c r="C61" s="4718"/>
      <c r="D61" s="4718"/>
      <c r="E61" s="4718"/>
      <c r="F61" s="4718"/>
      <c r="G61" s="4718"/>
      <c r="H61" s="4718"/>
      <c r="I61" s="4719"/>
    </row>
    <row r="62" spans="2:9" ht="7.5" customHeight="1">
      <c r="B62" s="4713"/>
      <c r="C62" s="4714"/>
      <c r="D62" s="4714"/>
      <c r="E62" s="1117"/>
      <c r="F62" s="1117"/>
      <c r="G62" s="1167"/>
      <c r="H62" s="1117"/>
      <c r="I62" s="1127"/>
    </row>
    <row r="63" spans="2:9">
      <c r="B63" s="1168" t="s">
        <v>3034</v>
      </c>
      <c r="C63" s="1117"/>
      <c r="D63" s="1162">
        <v>4</v>
      </c>
      <c r="F63" s="1117"/>
      <c r="G63" s="4715" t="s">
        <v>3033</v>
      </c>
      <c r="H63" s="4715"/>
      <c r="I63" s="4716"/>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3045</v>
      </c>
      <c r="C81" s="4718"/>
      <c r="D81" s="4718"/>
      <c r="E81" s="4718"/>
      <c r="F81" s="4718"/>
      <c r="G81" s="4718"/>
      <c r="H81" s="4718"/>
      <c r="I81" s="4719"/>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39">
        <f>'Closing term sheet'!D63</f>
        <v>12500000</v>
      </c>
      <c r="G84" s="4739"/>
      <c r="H84" s="1117"/>
      <c r="I84" s="1127"/>
    </row>
    <row r="85" spans="2:9">
      <c r="B85" s="1125"/>
      <c r="C85" s="739" t="s">
        <v>3048</v>
      </c>
      <c r="D85" s="1117"/>
      <c r="E85" s="1117"/>
      <c r="F85" s="4710">
        <f>'Part III-Sources of Funds'!I47+'Part III-Sources of Funds'!L47</f>
        <v>464780.85026636696</v>
      </c>
      <c r="G85" s="4710"/>
      <c r="H85" s="1117"/>
      <c r="I85" s="1127"/>
    </row>
    <row r="86" spans="2:9">
      <c r="B86" s="1125"/>
      <c r="C86" s="739" t="s">
        <v>3049</v>
      </c>
      <c r="D86" s="1117"/>
      <c r="E86" s="1117"/>
      <c r="F86" s="4709"/>
      <c r="G86" s="4709"/>
      <c r="H86" s="1117"/>
      <c r="I86" s="1127"/>
    </row>
    <row r="87" spans="2:9">
      <c r="B87" s="1125"/>
      <c r="C87" s="1142" t="s">
        <v>3050</v>
      </c>
      <c r="D87" s="1117"/>
      <c r="E87" s="1117"/>
      <c r="F87" s="4710">
        <v>11000</v>
      </c>
      <c r="G87" s="4710"/>
      <c r="H87" s="1117"/>
      <c r="I87" s="1127"/>
    </row>
    <row r="88" spans="2:9">
      <c r="B88" s="1125"/>
      <c r="C88" s="739" t="s">
        <v>3051</v>
      </c>
      <c r="D88" s="1117"/>
      <c r="E88" s="1117"/>
      <c r="F88" s="4742"/>
      <c r="G88" s="4742"/>
      <c r="H88" s="1117"/>
      <c r="I88" s="1127"/>
    </row>
    <row r="89" spans="2:9">
      <c r="B89" s="1125"/>
      <c r="C89" s="719" t="s">
        <v>3052</v>
      </c>
      <c r="D89" s="1117"/>
      <c r="E89" s="1117"/>
      <c r="F89" s="4737">
        <f>SUM(F84:G88)</f>
        <v>12975780.850266367</v>
      </c>
      <c r="G89" s="4737"/>
      <c r="H89" s="1117"/>
      <c r="I89" s="1127"/>
    </row>
    <row r="90" spans="2:9">
      <c r="B90" s="1125"/>
      <c r="C90" s="1117"/>
      <c r="D90" s="1117"/>
      <c r="E90" s="1117"/>
      <c r="F90" s="4738"/>
      <c r="G90" s="4738"/>
      <c r="H90" s="1117"/>
      <c r="I90" s="1127"/>
    </row>
    <row r="91" spans="2:9">
      <c r="B91" s="1128" t="s">
        <v>3053</v>
      </c>
      <c r="C91" s="1117"/>
      <c r="D91" s="1117"/>
      <c r="E91" s="1117"/>
      <c r="F91" s="1117"/>
      <c r="G91" s="1117"/>
      <c r="H91" s="1117"/>
      <c r="I91" s="1127"/>
    </row>
    <row r="92" spans="2:9">
      <c r="B92" s="1125"/>
      <c r="C92" s="739" t="s">
        <v>3054</v>
      </c>
      <c r="D92" s="1117"/>
      <c r="E92" s="1117"/>
      <c r="F92" s="4739"/>
      <c r="G92" s="4739"/>
      <c r="H92" s="1117"/>
      <c r="I92" s="1127"/>
    </row>
    <row r="93" spans="2:9">
      <c r="B93" s="1125"/>
      <c r="C93" s="739" t="s">
        <v>3055</v>
      </c>
      <c r="D93" s="1117"/>
      <c r="E93" s="1117"/>
      <c r="F93" s="4740"/>
      <c r="G93" s="4740"/>
      <c r="H93" s="1117"/>
      <c r="I93" s="1127"/>
    </row>
    <row r="94" spans="2:9">
      <c r="B94" s="1125"/>
      <c r="C94" s="739" t="s">
        <v>3056</v>
      </c>
      <c r="D94" s="1117"/>
      <c r="E94" s="1117"/>
      <c r="F94" s="4741" t="s">
        <v>2933</v>
      </c>
      <c r="G94" s="4736"/>
      <c r="H94" s="1117"/>
      <c r="I94" s="1127"/>
    </row>
    <row r="95" spans="2:9">
      <c r="B95" s="1125"/>
      <c r="C95" s="719" t="s">
        <v>3057</v>
      </c>
      <c r="D95" s="1117"/>
      <c r="E95" s="1117"/>
      <c r="F95" s="4737">
        <f>+SUM(F92:G94)</f>
        <v>0</v>
      </c>
      <c r="G95" s="4737"/>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39"/>
      <c r="G98" s="4739"/>
      <c r="H98" s="1117"/>
      <c r="I98" s="1127"/>
    </row>
    <row r="99" spans="2:9">
      <c r="B99" s="1125"/>
      <c r="C99" s="739" t="s">
        <v>3060</v>
      </c>
      <c r="D99" s="1117"/>
      <c r="E99" s="1117"/>
      <c r="F99" s="4740"/>
      <c r="G99" s="4740"/>
      <c r="H99" s="1117"/>
      <c r="I99" s="1127"/>
    </row>
    <row r="100" spans="2:9">
      <c r="B100" s="1125"/>
      <c r="C100" s="739" t="s">
        <v>3061</v>
      </c>
      <c r="D100" s="1117"/>
      <c r="E100" s="1117"/>
      <c r="F100" s="4742"/>
      <c r="G100" s="4742"/>
      <c r="H100" s="1117"/>
      <c r="I100" s="1127"/>
    </row>
    <row r="101" spans="2:9">
      <c r="B101" s="1125"/>
      <c r="C101" s="719" t="s">
        <v>3062</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3063</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3064</v>
      </c>
    </row>
    <row r="105" spans="2:9">
      <c r="B105" s="1128" t="s">
        <v>3065</v>
      </c>
      <c r="C105" s="1117"/>
      <c r="D105" s="1117"/>
      <c r="E105" s="1117"/>
      <c r="F105" s="4736">
        <f>+F103+F101+F95+F89</f>
        <v>12975780.850266367</v>
      </c>
      <c r="G105" s="4736"/>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59" zoomScale="118" zoomScaleNormal="118" workbookViewId="0">
      <selection activeCell="I1759" sqref="A1:XFD1048576"/>
    </sheetView>
  </sheetViews>
  <sheetFormatPr defaultColWidth="9.140625" defaultRowHeight="12.75"/>
  <cols>
    <col min="1" max="1" width="9.7109375" style="1924" bestFit="1" customWidth="1"/>
    <col min="2" max="6" width="11.7109375" style="1924" bestFit="1" customWidth="1"/>
    <col min="7" max="7" width="12.42578125" style="1924" bestFit="1" customWidth="1"/>
    <col min="8" max="8" width="12" style="1924" bestFit="1" customWidth="1"/>
    <col min="9" max="9" width="9.5703125" style="1924" customWidth="1"/>
    <col min="10" max="10" width="11.85546875" style="1924" bestFit="1" customWidth="1"/>
    <col min="11" max="11" width="13.85546875" style="1924" bestFit="1" customWidth="1"/>
    <col min="12" max="12" width="10"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8" width="9.7109375" style="1924" bestFit="1" customWidth="1"/>
    <col min="19" max="19" width="9.855468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Wagon Works</v>
      </c>
    </row>
    <row r="3" spans="1:6" s="1852" customFormat="1" ht="15" customHeight="1">
      <c r="A3" s="1853" t="str">
        <f>CONCATENATE('Part I-Project Information'!F39,", ", 'Part I-Project Information'!J40," County")</f>
        <v>East Point, Fulton County</v>
      </c>
    </row>
    <row r="4" spans="1:6" s="1852" customFormat="1" ht="12" customHeight="1"/>
    <row r="5" spans="1:6" s="1852" customFormat="1" ht="12.75" customHeight="1">
      <c r="A5" s="1854" t="str">
        <f>'Project Narrative'!A5</f>
        <v>Wagon Works (the “Property”) is the proposed conversion of a historic 1800’s wagon manufacturing facility into an 89-unit apartment community designed to serve Family tenancy in East Point and the surrounding Fulton County, Georgia areas.  The proposed project will support local area business growth and provides a solution to the lack of affordable rental housing in the area.
East Point is a historic city that sits at the apex of three major interstates, just south of downtown Atlanta.  The property site is 5-10 miles from many of Atlanta’s most coveted attractions and is only two MARTA stops north of the Hartsfield-Jackson Atlanta International Airport, the busiest passenger airport in the world.  Historic Downtown East Point has recently undergone a revitalization and has retail and restaurants in close proximity to the property site.  Organizations like the East Point Main Street Association, Keep East Point Beautiful and the East Point Historical Society are working to revitalize the area while preserving its character. The proposed project site is close to numerous jobs, several schools and many desirable amenities.  
The proposed Family apartment community will include spacious 1-, 2- and 3-Bedroom floorplans and will have common area on-site amenities including a computer room, community room with kitchenette, laundry facility, gazebo, and exercise center.  Each rental unit will be fully equipped with energy efficient appliances such as: refrigerator &amp; freezer/icemaker, microwave, range stove top with oven, washer/dryer connections, and ceiling fans in bedroom &amp; living room areas. 
The Ownership &amp; Development Team’s Qualifications:
The proposed ownership entity (Hallmark Wagon Works,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Wagon Works.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300 multi-family properties (approximately 14,000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300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v>
      </c>
      <c r="B5" s="1855" t="s">
        <v>4080</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6281</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7070</v>
      </c>
      <c r="L30" s="1857"/>
      <c r="P30" s="1860" t="s">
        <v>3428</v>
      </c>
      <c r="Z30" s="1857">
        <v>6</v>
      </c>
    </row>
    <row r="31" spans="1:26" s="1856" customFormat="1" ht="12" customHeight="1">
      <c r="B31" s="1861" t="str">
        <f>'Part I-Project Information'!B7</f>
        <v>2021 Core Application</v>
      </c>
      <c r="C31" s="1862"/>
      <c r="D31" s="1862"/>
      <c r="E31" s="1818"/>
      <c r="F31" s="1857"/>
      <c r="G31" s="1859" t="s">
        <v>7071</v>
      </c>
      <c r="H31" s="1857"/>
      <c r="I31" s="1857"/>
      <c r="J31" s="1857"/>
      <c r="O31" s="1863" t="str">
        <f>'Part I-Project Information'!O7</f>
        <v>2021-006</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3402</v>
      </c>
      <c r="I34" s="1866">
        <f>'Part IV-A-Uses of Funds'!$J$197</f>
        <v>1000000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3346</v>
      </c>
      <c r="J36" s="1856" t="s">
        <v>7072</v>
      </c>
      <c r="L36" s="1857"/>
      <c r="O36" s="1863" t="str">
        <f>'Part I-Project Information'!O12</f>
        <v>2021PA-003</v>
      </c>
      <c r="P36" s="1863"/>
      <c r="Z36" s="1857">
        <v>12</v>
      </c>
    </row>
    <row r="37" spans="1:26" s="1856" customFormat="1" ht="12.75" customHeight="1">
      <c r="A37" s="1857"/>
      <c r="B37" s="1865"/>
      <c r="C37" s="1865"/>
      <c r="D37" s="1865"/>
      <c r="E37" s="1865"/>
      <c r="H37" s="1857"/>
      <c r="J37" s="1859" t="s">
        <v>7009</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4286</v>
      </c>
      <c r="C39" s="1865"/>
      <c r="D39" s="1865"/>
      <c r="E39" s="1865"/>
      <c r="F39" s="1871" t="str">
        <f>'Part I-Project Information'!F15</f>
        <v>No</v>
      </c>
      <c r="G39" s="1858" t="s">
        <v>4287</v>
      </c>
      <c r="N39" s="1869" t="str">
        <f>'Part I-Project Information'!N15</f>
        <v>&lt;&lt;Select previous Application Type&gt;&gt;</v>
      </c>
      <c r="O39" s="1869"/>
      <c r="P39" s="1869"/>
      <c r="Z39" s="1857">
        <v>15</v>
      </c>
    </row>
    <row r="40" spans="1:26" s="1856" customFormat="1" ht="12.75" customHeight="1">
      <c r="A40" s="1857"/>
      <c r="B40" s="1856" t="s">
        <v>4280</v>
      </c>
      <c r="F40" s="1872" t="str">
        <f>'Part I-Project Information'!F16</f>
        <v>N/A</v>
      </c>
      <c r="G40" s="1872"/>
      <c r="H40" s="1872"/>
      <c r="I40" s="1872"/>
      <c r="J40" s="1856" t="s">
        <v>4118</v>
      </c>
      <c r="L40" s="1863" t="str">
        <f>'Part I-Project Information'!L16</f>
        <v>N/A</v>
      </c>
      <c r="M40" s="1863"/>
      <c r="N40" s="1856" t="s">
        <v>4117</v>
      </c>
      <c r="P40" s="1873">
        <f>'Part I-Project Information'!P16</f>
        <v>0</v>
      </c>
      <c r="Z40" s="1857">
        <v>16</v>
      </c>
    </row>
    <row r="41" spans="1:26" s="1856" customFormat="1" ht="12.75" customHeight="1">
      <c r="A41" s="1857"/>
      <c r="B41" s="1856" t="s">
        <v>3401</v>
      </c>
      <c r="F41" s="1871" t="str">
        <f>'Part I-Project Information'!F17</f>
        <v>No</v>
      </c>
      <c r="G41" s="1856" t="s">
        <v>4075</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3825</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3435</v>
      </c>
      <c r="F45" s="1863" t="str">
        <f>'Part I-Project Information'!F21</f>
        <v>Hallmark Wagon Works, LP</v>
      </c>
      <c r="G45" s="1863"/>
      <c r="H45" s="1863"/>
      <c r="I45" s="1856" t="s">
        <v>1716</v>
      </c>
      <c r="J45" s="1863" t="str">
        <f>'Part I-Project Information'!J21</f>
        <v>Martin H. Petersen</v>
      </c>
      <c r="K45" s="1863"/>
      <c r="L45" s="1863"/>
      <c r="M45" s="1858" t="s">
        <v>1890</v>
      </c>
      <c r="N45" s="1863" t="str">
        <f>'Part I-Project Information'!N21</f>
        <v>Manager</v>
      </c>
      <c r="O45" s="1863"/>
      <c r="P45" s="1863"/>
      <c r="Z45" s="1857">
        <v>21</v>
      </c>
    </row>
    <row r="46" spans="1:26" s="1856" customFormat="1" ht="13.35" customHeight="1">
      <c r="B46" s="1858" t="s">
        <v>1891</v>
      </c>
      <c r="F46" s="1863" t="str">
        <f>'Part I-Project Information'!F22</f>
        <v>3111 Paces Mill Road, Suite A-250</v>
      </c>
      <c r="G46" s="1863"/>
      <c r="H46" s="1863"/>
      <c r="I46" s="1863"/>
      <c r="J46" s="1863"/>
      <c r="K46" s="1863"/>
      <c r="L46" s="1863"/>
      <c r="M46" s="1875" t="s">
        <v>3434</v>
      </c>
      <c r="N46" s="1875"/>
      <c r="O46" s="1875"/>
      <c r="P46" s="1875"/>
      <c r="Z46" s="1857">
        <v>22</v>
      </c>
    </row>
    <row r="47" spans="1:26" s="1856" customFormat="1" ht="13.35" customHeight="1">
      <c r="B47" s="1858" t="s">
        <v>588</v>
      </c>
      <c r="F47" s="1863" t="str">
        <f>'Part I-Project Information'!F23</f>
        <v>Atlanta</v>
      </c>
      <c r="G47" s="1863"/>
      <c r="H47" s="1863"/>
      <c r="I47" s="1858" t="s">
        <v>1717</v>
      </c>
      <c r="J47" s="1876" t="str">
        <f>'Part I-Project Information'!J23</f>
        <v>GA</v>
      </c>
      <c r="M47" s="1875"/>
      <c r="N47" s="1875"/>
      <c r="O47" s="1875"/>
      <c r="P47" s="1875"/>
      <c r="Z47" s="1857">
        <v>23</v>
      </c>
    </row>
    <row r="48" spans="1:26" s="1856" customFormat="1" ht="13.35" customHeight="1">
      <c r="B48" s="1858" t="s">
        <v>2128</v>
      </c>
      <c r="F48" s="1877">
        <f>'Part I-Project Information'!F24</f>
        <v>303395704</v>
      </c>
      <c r="G48" s="1877"/>
      <c r="H48" s="1877"/>
      <c r="I48" s="1858" t="s">
        <v>1643</v>
      </c>
      <c r="J48" s="1878">
        <f>'Part I-Project Information'!J24</f>
        <v>7709842100</v>
      </c>
      <c r="K48" s="1878"/>
      <c r="L48" s="1857" t="s">
        <v>1642</v>
      </c>
      <c r="M48" s="1879">
        <f>'Part I-Project Information'!M24</f>
        <v>107</v>
      </c>
      <c r="N48" s="1858" t="s">
        <v>1644</v>
      </c>
      <c r="O48" s="1878">
        <f>'Part I-Project Information'!O24</f>
        <v>7706350157</v>
      </c>
      <c r="P48" s="1878"/>
      <c r="Z48" s="1857">
        <v>24</v>
      </c>
    </row>
    <row r="49" spans="1:26" s="1856" customFormat="1" ht="13.35" customHeight="1">
      <c r="B49" s="1858" t="s">
        <v>1894</v>
      </c>
      <c r="F49" s="1863" t="str">
        <f>'Part I-Project Information'!F25</f>
        <v>ppetersen@hallmarkco.com</v>
      </c>
      <c r="G49" s="1863"/>
      <c r="H49" s="1863"/>
      <c r="I49" s="1863"/>
      <c r="J49" s="1863"/>
      <c r="K49" s="1863"/>
      <c r="N49" s="1858" t="s">
        <v>1889</v>
      </c>
      <c r="O49" s="1878">
        <f>'Part I-Project Information'!O25</f>
        <v>4042340004</v>
      </c>
      <c r="P49" s="1878"/>
      <c r="Z49" s="1857">
        <v>25</v>
      </c>
    </row>
    <row r="50" spans="1:26" s="1856" customFormat="1" ht="13.5" customHeight="1">
      <c r="A50" s="1857"/>
      <c r="B50" s="1856" t="s">
        <v>3824</v>
      </c>
      <c r="C50" s="1865"/>
      <c r="H50" s="1857"/>
      <c r="J50" s="1865"/>
      <c r="P50" s="1880"/>
      <c r="Z50" s="1857">
        <v>26</v>
      </c>
    </row>
    <row r="51" spans="1:26" s="1856" customFormat="1" ht="13.35" customHeight="1">
      <c r="B51" s="1856" t="s">
        <v>3435</v>
      </c>
      <c r="F51" s="1863" t="str">
        <f>'Part I-Project Information'!F27</f>
        <v>Hallmark Development Partners, LLC</v>
      </c>
      <c r="G51" s="1863"/>
      <c r="H51" s="1863"/>
      <c r="I51" s="1856" t="s">
        <v>1716</v>
      </c>
      <c r="J51" s="1863" t="str">
        <f>'Part I-Project Information'!J27</f>
        <v>Thompson Kurrie III</v>
      </c>
      <c r="K51" s="1863"/>
      <c r="L51" s="1863"/>
      <c r="M51" s="1858" t="s">
        <v>1890</v>
      </c>
      <c r="N51" s="1863" t="str">
        <f>'Part I-Project Information'!N27</f>
        <v>President</v>
      </c>
      <c r="O51" s="1863"/>
      <c r="P51" s="1863"/>
      <c r="Z51" s="1857">
        <v>27</v>
      </c>
    </row>
    <row r="52" spans="1:26" s="1856" customFormat="1" ht="13.35" customHeight="1">
      <c r="B52" s="1858" t="s">
        <v>1891</v>
      </c>
      <c r="F52" s="1863" t="str">
        <f>'Part I-Project Information'!F28</f>
        <v>3111 Paces Mill Road, Suite A-250</v>
      </c>
      <c r="G52" s="1863"/>
      <c r="H52" s="1863"/>
      <c r="I52" s="1863"/>
      <c r="J52" s="1863"/>
      <c r="K52" s="1863"/>
      <c r="L52" s="1863"/>
      <c r="M52" s="1875" t="s">
        <v>3434</v>
      </c>
      <c r="N52" s="1875"/>
      <c r="O52" s="1875"/>
      <c r="P52" s="1875"/>
      <c r="Z52" s="1868">
        <v>28</v>
      </c>
    </row>
    <row r="53" spans="1:26" s="1856" customFormat="1" ht="13.35" customHeight="1">
      <c r="B53" s="1858" t="s">
        <v>588</v>
      </c>
      <c r="F53" s="1863" t="str">
        <f>'Part I-Project Information'!F29</f>
        <v>Atlanta</v>
      </c>
      <c r="G53" s="1863"/>
      <c r="H53" s="1863"/>
      <c r="I53" s="1858" t="s">
        <v>1717</v>
      </c>
      <c r="J53" s="1876" t="str">
        <f>'Part I-Project Information'!J29</f>
        <v>GA</v>
      </c>
      <c r="M53" s="1875"/>
      <c r="N53" s="1875"/>
      <c r="O53" s="1875"/>
      <c r="P53" s="1875"/>
      <c r="Z53" s="1868">
        <v>29</v>
      </c>
    </row>
    <row r="54" spans="1:26" s="1856" customFormat="1" ht="13.35" customHeight="1">
      <c r="B54" s="1858" t="s">
        <v>2128</v>
      </c>
      <c r="F54" s="1877">
        <f>'Part I-Project Information'!F30</f>
        <v>303395704</v>
      </c>
      <c r="G54" s="1877"/>
      <c r="H54" s="1877"/>
      <c r="I54" s="1858" t="s">
        <v>1643</v>
      </c>
      <c r="J54" s="1878">
        <f>'Part I-Project Information'!J30</f>
        <v>2295480296</v>
      </c>
      <c r="K54" s="1878"/>
      <c r="L54" s="1857" t="s">
        <v>1642</v>
      </c>
      <c r="M54" s="1879">
        <f>'Part I-Project Information'!M30</f>
        <v>0</v>
      </c>
      <c r="N54" s="1858" t="s">
        <v>1644</v>
      </c>
      <c r="O54" s="1878">
        <f>'Part I-Project Information'!O30</f>
        <v>2295480296</v>
      </c>
      <c r="P54" s="1878"/>
      <c r="Z54" s="1857">
        <v>30</v>
      </c>
    </row>
    <row r="55" spans="1:26" s="1856" customFormat="1" ht="13.35" customHeight="1">
      <c r="B55" s="1858" t="s">
        <v>1894</v>
      </c>
      <c r="F55" s="1863" t="str">
        <f>'Part I-Project Information'!F31</f>
        <v>tkurrie@hallmarkco.com</v>
      </c>
      <c r="G55" s="1863"/>
      <c r="H55" s="1863"/>
      <c r="I55" s="1863"/>
      <c r="J55" s="1863"/>
      <c r="K55" s="1863"/>
      <c r="N55" s="1858" t="s">
        <v>1889</v>
      </c>
      <c r="O55" s="1878">
        <f>'Part I-Project Information'!O31</f>
        <v>2295480296</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Wagon Works</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1514 E. Cleveland Avenue</v>
      </c>
      <c r="G60" s="1872"/>
      <c r="H60" s="1872"/>
      <c r="I60" s="1872"/>
      <c r="J60" s="1872"/>
      <c r="K60" s="1872"/>
      <c r="L60" s="1856" t="s">
        <v>3321</v>
      </c>
      <c r="O60" s="1863" t="str">
        <f>'Part I-Project Information'!O36</f>
        <v>N/A</v>
      </c>
      <c r="P60" s="1863"/>
      <c r="Z60" s="1857">
        <v>36</v>
      </c>
    </row>
    <row r="61" spans="1:26" s="1856" customFormat="1" ht="13.35" customHeight="1">
      <c r="A61" s="1860"/>
      <c r="B61" s="1856" t="s">
        <v>7010</v>
      </c>
      <c r="D61" s="1860"/>
      <c r="F61" s="1872">
        <f>'Part I-Project Information'!F37</f>
        <v>0</v>
      </c>
      <c r="G61" s="1872"/>
      <c r="H61" s="1872"/>
      <c r="I61" s="1872"/>
      <c r="J61" s="1872"/>
      <c r="K61" s="1872"/>
      <c r="L61" s="1858" t="s">
        <v>1958</v>
      </c>
      <c r="N61" s="1879" t="str">
        <f>'Part I-Project Information'!N37</f>
        <v>No</v>
      </c>
      <c r="O61" s="1857" t="s">
        <v>3320</v>
      </c>
      <c r="P61" s="1879">
        <f>'Part I-Project Information'!P37</f>
        <v>1</v>
      </c>
      <c r="Z61" s="1857">
        <v>37</v>
      </c>
    </row>
    <row r="62" spans="1:26" s="1856" customFormat="1" ht="13.35" customHeight="1">
      <c r="A62" s="1860"/>
      <c r="B62" s="1856" t="s">
        <v>3362</v>
      </c>
      <c r="D62" s="1860"/>
      <c r="F62" s="1856" t="s">
        <v>3347</v>
      </c>
      <c r="G62" s="1881">
        <f>'Part I-Project Information'!G38</f>
        <v>33.678429000000001</v>
      </c>
      <c r="H62" s="1881"/>
      <c r="I62" s="1857" t="s">
        <v>3348</v>
      </c>
      <c r="J62" s="1881">
        <f>'Part I-Project Information'!J38</f>
        <v>-84.438682999999997</v>
      </c>
      <c r="K62" s="1881"/>
      <c r="L62" s="1858" t="s">
        <v>2180</v>
      </c>
      <c r="O62" s="1882">
        <f>'Part I-Project Information'!O38</f>
        <v>4.4720000000000004</v>
      </c>
      <c r="P62" s="1882"/>
      <c r="Z62" s="1868">
        <v>38</v>
      </c>
    </row>
    <row r="63" spans="1:26" s="1856" customFormat="1" ht="13.35" customHeight="1">
      <c r="A63" s="1857"/>
      <c r="B63" s="1856" t="s">
        <v>588</v>
      </c>
      <c r="F63" s="1863" t="str">
        <f>'Part I-Project Information'!F39</f>
        <v>East Point</v>
      </c>
      <c r="G63" s="1863"/>
      <c r="H63" s="1863"/>
      <c r="I63" s="1883" t="s">
        <v>7073</v>
      </c>
      <c r="J63" s="1877">
        <f>'Part I-Project Information'!J39</f>
        <v>303446965</v>
      </c>
      <c r="K63" s="1877"/>
      <c r="L63" s="1856" t="str">
        <f>IF(AND(NOT(F59=""),NOT(F63="Select from list"),J63=""),"Enter Zip!","")</f>
        <v/>
      </c>
      <c r="M63" s="1884" t="s">
        <v>2693</v>
      </c>
      <c r="O63" s="1885" t="str">
        <f>'Part I-Project Information'!O39</f>
        <v>110.00</v>
      </c>
      <c r="P63" s="1886"/>
      <c r="Z63" s="1857">
        <v>39</v>
      </c>
    </row>
    <row r="64" spans="1:26" s="1856" customFormat="1" ht="13.35" customHeight="1">
      <c r="A64" s="1857"/>
      <c r="B64" s="1856" t="s">
        <v>4097</v>
      </c>
      <c r="F64" s="1863" t="str">
        <f>'Part I-Project Information'!F40</f>
        <v>City Limits</v>
      </c>
      <c r="G64" s="1863"/>
      <c r="H64" s="1863"/>
      <c r="I64" s="1887" t="s">
        <v>589</v>
      </c>
      <c r="J64" s="1872" t="str">
        <f>'Part I-Project Information'!J40</f>
        <v>Fulton</v>
      </c>
      <c r="K64" s="1872"/>
      <c r="M64" s="1858" t="s">
        <v>431</v>
      </c>
      <c r="N64" s="1873" t="str">
        <f>'Part I-Project Information'!N40</f>
        <v>Yes</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2610</v>
      </c>
      <c r="K65" s="1857" t="str">
        <f>'Part I-Project Information'!K41</f>
        <v>Urban</v>
      </c>
      <c r="M65" s="1858" t="s">
        <v>2487</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7074</v>
      </c>
      <c r="F67" s="1865" t="s">
        <v>2592</v>
      </c>
      <c r="G67" s="1865"/>
      <c r="H67" s="1856" t="s">
        <v>706</v>
      </c>
      <c r="J67" s="1856" t="s">
        <v>707</v>
      </c>
      <c r="L67" s="1890" t="s">
        <v>7075</v>
      </c>
      <c r="Z67" s="1857">
        <v>43</v>
      </c>
    </row>
    <row r="68" spans="1:26" s="1856" customFormat="1" ht="13.35" customHeight="1">
      <c r="A68" s="1857"/>
      <c r="B68" s="1856" t="s">
        <v>7011</v>
      </c>
      <c r="F68" s="1891">
        <f>'Part I-Project Information'!F44</f>
        <v>5</v>
      </c>
      <c r="G68" s="1891"/>
      <c r="H68" s="1891">
        <f>'Part I-Project Information'!H44</f>
        <v>36</v>
      </c>
      <c r="I68" s="1891"/>
      <c r="J68" s="1891">
        <f>'Part I-Project Information'!J44</f>
        <v>59</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East Point</v>
      </c>
      <c r="G71" s="1894"/>
      <c r="H71" s="1894"/>
      <c r="I71" s="1894"/>
      <c r="J71" s="1894"/>
      <c r="K71" s="1894"/>
      <c r="L71" s="1895" t="s">
        <v>2553</v>
      </c>
      <c r="M71" s="1863" t="str">
        <f>'Part I-Project Information'!M47</f>
        <v>www.eastpointcity.org</v>
      </c>
      <c r="N71" s="1863"/>
      <c r="O71" s="1863"/>
      <c r="P71" s="1863"/>
      <c r="Z71" s="1868">
        <v>47</v>
      </c>
    </row>
    <row r="72" spans="1:26" s="1856" customFormat="1" ht="13.35" customHeight="1">
      <c r="A72" s="1857"/>
      <c r="B72" s="1856" t="s">
        <v>608</v>
      </c>
      <c r="F72" s="1894" t="str">
        <f>'Part I-Project Information'!F48</f>
        <v>Deana Holiday Ingraham</v>
      </c>
      <c r="G72" s="1894"/>
      <c r="H72" s="1894"/>
      <c r="I72" s="1857" t="s">
        <v>1890</v>
      </c>
      <c r="J72" s="1863" t="str">
        <f>'Part I-Project Information'!J48</f>
        <v>Mayor</v>
      </c>
      <c r="K72" s="1863"/>
      <c r="L72" s="1895"/>
      <c r="Z72" s="1857">
        <v>48</v>
      </c>
    </row>
    <row r="73" spans="1:26" s="1856" customFormat="1" ht="13.35" customHeight="1">
      <c r="A73" s="1857"/>
      <c r="B73" s="1856" t="s">
        <v>1891</v>
      </c>
      <c r="F73" s="1894" t="str">
        <f>'Part I-Project Information'!F49</f>
        <v>2757 E. Point Street</v>
      </c>
      <c r="G73" s="1894"/>
      <c r="H73" s="1894"/>
      <c r="I73" s="1894"/>
      <c r="J73" s="1894"/>
      <c r="K73" s="1894"/>
      <c r="L73" s="1858" t="s">
        <v>588</v>
      </c>
      <c r="M73" s="1894" t="str">
        <f>'Part I-Project Information'!M49</f>
        <v>East Point</v>
      </c>
      <c r="N73" s="1894"/>
      <c r="O73" s="1894"/>
      <c r="P73" s="1894"/>
      <c r="Z73" s="1857">
        <v>49</v>
      </c>
    </row>
    <row r="74" spans="1:26" s="1856" customFormat="1" ht="13.35" customHeight="1">
      <c r="A74" s="1857"/>
      <c r="B74" s="1858" t="s">
        <v>2128</v>
      </c>
      <c r="F74" s="1877">
        <f>'Part I-Project Information'!F50</f>
        <v>303443207</v>
      </c>
      <c r="G74" s="1877"/>
      <c r="H74" s="1857" t="s">
        <v>1892</v>
      </c>
      <c r="I74" s="1878">
        <f>'Part I-Project Information'!I50</f>
        <v>4042707091</v>
      </c>
      <c r="J74" s="1878"/>
      <c r="K74" s="1878"/>
      <c r="L74" s="1858" t="s">
        <v>1718</v>
      </c>
      <c r="M74" s="1894" t="str">
        <f>'Part I-Project Information'!M50</f>
        <v>dholidayingraham@eastpointycity.org</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7012</v>
      </c>
      <c r="K78" s="1864"/>
      <c r="M78" s="1892"/>
      <c r="N78" s="1892"/>
      <c r="O78" s="1892"/>
      <c r="P78" s="1892"/>
      <c r="Q78" s="1857"/>
      <c r="Z78" s="1857">
        <v>54</v>
      </c>
    </row>
    <row r="79" spans="1:26" s="1865" customFormat="1" ht="13.35" customHeight="1">
      <c r="B79" s="1857"/>
      <c r="C79" s="1856" t="s">
        <v>2192</v>
      </c>
      <c r="D79" s="1856"/>
      <c r="E79" s="1856"/>
      <c r="H79" s="1897">
        <f>'Part I-Project Information'!H55</f>
        <v>89</v>
      </c>
      <c r="K79" s="1858" t="s">
        <v>3313</v>
      </c>
      <c r="L79" s="1856"/>
      <c r="M79" s="1898" t="s">
        <v>3312</v>
      </c>
      <c r="N79" s="1897">
        <f>'Part I-Project Information'!N55</f>
        <v>0</v>
      </c>
      <c r="O79" s="1899" t="s">
        <v>3117</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Yes</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3257</v>
      </c>
      <c r="J85" s="1860" t="s">
        <v>2021</v>
      </c>
      <c r="K85" s="1865" t="s">
        <v>2198</v>
      </c>
      <c r="P85" s="1857"/>
      <c r="Q85" s="1857"/>
      <c r="R85" s="1857"/>
      <c r="Z85" s="1857">
        <v>61</v>
      </c>
    </row>
    <row r="86" spans="1:26" s="1856" customFormat="1" ht="13.35" customHeight="1">
      <c r="A86" s="1857"/>
      <c r="B86" s="1903"/>
      <c r="C86" s="1865" t="s">
        <v>2174</v>
      </c>
      <c r="H86" s="1897">
        <f>'Part I-Project Information'!H62</f>
        <v>89</v>
      </c>
      <c r="I86" s="1904">
        <f>'Part VI-Revenues &amp; Expenses'!$P$100</f>
        <v>0</v>
      </c>
      <c r="J86" s="1857"/>
      <c r="K86" s="1865" t="s">
        <v>2600</v>
      </c>
      <c r="P86" s="1897">
        <f>'Part I-Project Information'!P62</f>
        <v>82950</v>
      </c>
      <c r="Z86" s="1857">
        <v>62</v>
      </c>
    </row>
    <row r="87" spans="1:26" s="1856" customFormat="1" ht="13.35" customHeight="1">
      <c r="A87" s="1857"/>
      <c r="C87" s="1865" t="s">
        <v>242</v>
      </c>
      <c r="H87" s="1897">
        <f>'Part I-Project Information'!H63</f>
        <v>0</v>
      </c>
      <c r="J87" s="1857"/>
      <c r="K87" s="1865" t="s">
        <v>2601</v>
      </c>
      <c r="P87" s="1897">
        <f>'Part I-Project Information'!P63</f>
        <v>0</v>
      </c>
      <c r="Z87" s="1857">
        <v>63</v>
      </c>
    </row>
    <row r="88" spans="1:26" s="1856" customFormat="1" ht="13.35" customHeight="1">
      <c r="A88" s="1857"/>
      <c r="C88" s="1865" t="s">
        <v>2297</v>
      </c>
      <c r="H88" s="1897">
        <f>'Part I-Project Information'!H64</f>
        <v>89</v>
      </c>
      <c r="J88" s="1857"/>
      <c r="K88" s="1865" t="s">
        <v>2602</v>
      </c>
      <c r="P88" s="1897">
        <f>'Part I-Project Information'!P64</f>
        <v>82950</v>
      </c>
      <c r="Z88" s="1857">
        <v>64</v>
      </c>
    </row>
    <row r="89" spans="1:26" s="1856" customFormat="1" ht="13.35" customHeight="1">
      <c r="A89" s="1857"/>
      <c r="C89" s="1865" t="s">
        <v>2298</v>
      </c>
      <c r="H89" s="1897">
        <f>'Part I-Project Information'!H65</f>
        <v>0</v>
      </c>
      <c r="J89" s="1857"/>
      <c r="K89" s="1865" t="s">
        <v>2603</v>
      </c>
      <c r="P89" s="1897">
        <f>'Part I-Project Information'!P65</f>
        <v>0</v>
      </c>
      <c r="Z89" s="1857">
        <v>65</v>
      </c>
    </row>
    <row r="90" spans="1:26" s="1856" customFormat="1" ht="13.35" customHeight="1">
      <c r="A90" s="1857"/>
      <c r="C90" s="1865" t="s">
        <v>1712</v>
      </c>
      <c r="H90" s="1897">
        <f>'Part I-Project Information'!H66</f>
        <v>89</v>
      </c>
      <c r="K90" s="1865" t="s">
        <v>1369</v>
      </c>
      <c r="P90" s="1897">
        <f>'Part I-Project Information'!P66</f>
        <v>82950</v>
      </c>
      <c r="Z90" s="1868">
        <v>66</v>
      </c>
    </row>
    <row r="91" spans="1:26" s="1856" customFormat="1" ht="3" customHeight="1">
      <c r="A91" s="1857"/>
      <c r="I91" s="1857"/>
      <c r="L91" s="1857"/>
      <c r="M91" s="1857"/>
      <c r="P91" s="1880"/>
      <c r="Z91" s="1857">
        <v>67</v>
      </c>
    </row>
    <row r="92" spans="1:26" s="1856" customFormat="1" ht="11.25" customHeight="1">
      <c r="A92" s="1857"/>
      <c r="H92" s="1857" t="s">
        <v>3441</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1</v>
      </c>
      <c r="I93" s="1879">
        <f>'Part I-Project Information'!I69</f>
        <v>1</v>
      </c>
      <c r="K93" s="1865" t="s">
        <v>7076</v>
      </c>
      <c r="P93" s="1879">
        <f>'Part I-Project Information'!P69</f>
        <v>17700</v>
      </c>
      <c r="Z93" s="1857">
        <v>69</v>
      </c>
    </row>
    <row r="94" spans="1:26" s="1856" customFormat="1" ht="13.35" customHeight="1">
      <c r="A94" s="1857"/>
      <c r="B94" s="1857"/>
      <c r="D94" s="1903" t="s">
        <v>1907</v>
      </c>
      <c r="H94" s="1879">
        <f>'Part I-Project Information'!H70</f>
        <v>0</v>
      </c>
      <c r="I94" s="1879">
        <f>'Part I-Project Information'!I70</f>
        <v>0</v>
      </c>
      <c r="K94" s="1865" t="s">
        <v>241</v>
      </c>
      <c r="P94" s="1904">
        <f>+P90+P93</f>
        <v>100650</v>
      </c>
      <c r="Z94" s="1857">
        <v>70</v>
      </c>
    </row>
    <row r="95" spans="1:26" s="1856" customFormat="1" ht="13.35" customHeight="1">
      <c r="A95" s="1857"/>
      <c r="B95" s="1857"/>
      <c r="D95" s="1903" t="s">
        <v>1908</v>
      </c>
      <c r="H95" s="1904">
        <f>+H93+H94</f>
        <v>1</v>
      </c>
      <c r="I95" s="1904">
        <f>+I93+I94</f>
        <v>1</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146</v>
      </c>
      <c r="K97" s="1905" t="s">
        <v>6776</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7077</v>
      </c>
      <c r="D101" s="1903"/>
      <c r="E101" s="1906" t="s">
        <v>6602</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6603</v>
      </c>
      <c r="K103" s="1907" t="s">
        <v>4025</v>
      </c>
      <c r="L103" s="1908" t="s">
        <v>2698</v>
      </c>
      <c r="M103" s="1879">
        <f>'Part I-Project Information'!M79</f>
        <v>89</v>
      </c>
      <c r="N103" s="1908" t="s">
        <v>2699</v>
      </c>
      <c r="O103" s="1879">
        <f>'Part I-Project Information'!O79</f>
        <v>0</v>
      </c>
      <c r="P103" s="1858" t="s">
        <v>4024</v>
      </c>
      <c r="Z103" s="1857">
        <v>79</v>
      </c>
    </row>
    <row r="104" spans="1:26" s="1856" customFormat="1">
      <c r="A104" s="1857"/>
      <c r="B104" s="1857"/>
      <c r="D104" s="1858"/>
      <c r="E104" s="1903"/>
      <c r="J104" s="1907"/>
      <c r="K104" s="1907"/>
      <c r="L104" s="1860" t="s">
        <v>2700</v>
      </c>
      <c r="M104" s="1879">
        <f>'Part I-Project Information'!M80</f>
        <v>0</v>
      </c>
      <c r="N104" s="1860" t="s">
        <v>3431</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7078</v>
      </c>
      <c r="D106" s="1903"/>
      <c r="E106" s="1906" t="s">
        <v>6605</v>
      </c>
      <c r="G106" s="1857"/>
      <c r="H106" s="1863" t="str">
        <f>'Part I-Project Information'!H82</f>
        <v>Other Non-Senior</v>
      </c>
      <c r="I106" s="1863"/>
      <c r="J106" s="1863"/>
      <c r="K106" s="1856" t="s">
        <v>1692</v>
      </c>
      <c r="M106" s="1863" t="str">
        <f>'Part I-Project Information'!M82</f>
        <v>COMMERCIAL</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4025</v>
      </c>
      <c r="L108" s="1908" t="s">
        <v>2698</v>
      </c>
      <c r="M108" s="1879">
        <f>'Part I-Project Information'!M84</f>
        <v>0</v>
      </c>
      <c r="N108" s="1908" t="s">
        <v>2699</v>
      </c>
      <c r="O108" s="1879">
        <f>'Part I-Project Information'!O84</f>
        <v>0</v>
      </c>
      <c r="P108" s="1858" t="s">
        <v>4024</v>
      </c>
      <c r="Z108" s="1868">
        <v>84</v>
      </c>
    </row>
    <row r="109" spans="1:26" s="1856" customFormat="1">
      <c r="A109" s="1857"/>
      <c r="B109" s="1857"/>
      <c r="D109" s="1858"/>
      <c r="E109" s="1903"/>
      <c r="J109" s="1907"/>
      <c r="K109" s="1907"/>
      <c r="L109" s="1860" t="s">
        <v>2700</v>
      </c>
      <c r="M109" s="1879">
        <f>'Part I-Project Information'!M85</f>
        <v>0</v>
      </c>
      <c r="N109" s="1860" t="s">
        <v>3431</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5</v>
      </c>
      <c r="K111" s="1856" t="s">
        <v>495</v>
      </c>
      <c r="N111" s="1909">
        <f>'Part I-Project Information'!N87</f>
        <v>5.6179775280898875E-2</v>
      </c>
      <c r="O111" s="1860" t="s">
        <v>3330</v>
      </c>
      <c r="P111" s="1910">
        <f>'DCA Underwriting Assumptions'!$Q$155</f>
        <v>0.05</v>
      </c>
      <c r="Z111" s="1857">
        <v>87</v>
      </c>
    </row>
    <row r="112" spans="1:26" s="1856" customFormat="1">
      <c r="A112" s="1857"/>
      <c r="B112" s="1857"/>
      <c r="D112" s="1903" t="s">
        <v>2634</v>
      </c>
      <c r="E112" s="1903"/>
      <c r="F112" s="1903" t="s">
        <v>764</v>
      </c>
      <c r="H112" s="1897">
        <f>'Part I-Project Information'!H88</f>
        <v>2</v>
      </c>
      <c r="K112" s="1856" t="s">
        <v>2635</v>
      </c>
      <c r="N112" s="1909">
        <f>'Part I-Project Information'!N88</f>
        <v>0.4</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2</v>
      </c>
      <c r="K114" s="1856" t="s">
        <v>495</v>
      </c>
      <c r="N114" s="1909">
        <f>'Part I-Project Information'!N90</f>
        <v>2.247191011235955E-2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3990</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4096</v>
      </c>
      <c r="L119" s="1857"/>
      <c r="M119" s="1857"/>
      <c r="Z119" s="1857">
        <v>95</v>
      </c>
    </row>
    <row r="120" spans="1:26" s="1856" customFormat="1" ht="13.35" customHeight="1">
      <c r="B120" s="1857" t="s">
        <v>1895</v>
      </c>
      <c r="C120" s="1856" t="s">
        <v>1473</v>
      </c>
      <c r="K120" s="1858" t="s">
        <v>4011</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No</v>
      </c>
      <c r="K124" s="1858" t="s">
        <v>932</v>
      </c>
      <c r="M124" s="1879" t="str">
        <f>'Part I-Project Information'!M100</f>
        <v>No</v>
      </c>
      <c r="O124" s="1860" t="s">
        <v>3930</v>
      </c>
      <c r="P124" s="1879" t="str">
        <f>'Part I-Project Information'!P100</f>
        <v>No</v>
      </c>
      <c r="Z124" s="1857">
        <v>100</v>
      </c>
    </row>
    <row r="125" spans="1:26" s="1856" customFormat="1" ht="13.35" customHeight="1">
      <c r="A125" s="1865"/>
      <c r="B125" s="1857"/>
      <c r="F125" s="1903" t="s">
        <v>3446</v>
      </c>
      <c r="H125" s="1879" t="str">
        <f>'Part I-Project Information'!H101</f>
        <v>No</v>
      </c>
      <c r="K125" s="1858" t="s">
        <v>6314</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6313</v>
      </c>
      <c r="D129" s="1903"/>
      <c r="H129" s="1863" t="str">
        <f>'Part I-Project Information'!H105</f>
        <v>Atlanta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t="str">
        <f>'Part I-Project Information'!E109</f>
        <v>N/A</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1603000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Martin H. Petersen</v>
      </c>
      <c r="D149" s="1869"/>
      <c r="E149" s="1869"/>
      <c r="F149" s="1869" t="str">
        <f>'Part I-Project Information'!F125</f>
        <v>Wagon Works</v>
      </c>
      <c r="G149" s="1869"/>
      <c r="H149" s="1869"/>
      <c r="I149" s="1916">
        <f>'Part I-Project Information'!I125</f>
        <v>0</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William A. Glisson</v>
      </c>
      <c r="D150" s="1869"/>
      <c r="E150" s="1869"/>
      <c r="F150" s="1869" t="str">
        <f>'Part I-Project Information'!F126</f>
        <v>Wagon Works</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Thompson Kurrie III</v>
      </c>
      <c r="D151" s="1869"/>
      <c r="E151" s="1869"/>
      <c r="F151" s="1869" t="str">
        <f>'Part I-Project Information'!F127</f>
        <v>Wagon Works</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Martin H. Petersen</v>
      </c>
      <c r="D152" s="1869"/>
      <c r="E152" s="1869"/>
      <c r="F152" s="1869" t="str">
        <f>'Part I-Project Information'!F128</f>
        <v>Ashton Place</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t="str">
        <f>'Part I-Project Information'!C129</f>
        <v>William A. Glisson</v>
      </c>
      <c r="D153" s="1869"/>
      <c r="E153" s="1869"/>
      <c r="F153" s="1869" t="str">
        <f>'Part I-Project Information'!F129</f>
        <v>Ashton Place</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t="str">
        <f>'Part I-Project Information'!C130</f>
        <v>Thompson Kurrie III</v>
      </c>
      <c r="D154" s="1869"/>
      <c r="E154" s="1869"/>
      <c r="F154" s="1869" t="str">
        <f>'Part I-Project Information'!F130</f>
        <v>Ashton Place</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t="str">
        <f>'Part I-Project Information'!C135</f>
        <v>N/A</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7013</v>
      </c>
      <c r="I166" s="1879" t="str">
        <f>'Part I-Project Information'!I142</f>
        <v>No</v>
      </c>
      <c r="K166" s="1856" t="s">
        <v>6479</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6837</v>
      </c>
      <c r="I168" s="1879">
        <f>'Part I-Project Information'!I144</f>
        <v>0</v>
      </c>
      <c r="K168" s="1856" t="s">
        <v>6480</v>
      </c>
      <c r="M168" s="1857"/>
      <c r="O168" s="1913">
        <f>'Part I-Project Information'!O144</f>
        <v>0</v>
      </c>
      <c r="P168" s="1913"/>
      <c r="Z168" s="1857">
        <v>144</v>
      </c>
    </row>
    <row r="169" spans="1:26" s="1856" customFormat="1" ht="12" customHeight="1">
      <c r="A169" s="1857"/>
      <c r="B169" s="1857"/>
      <c r="C169" s="1903" t="s">
        <v>2309</v>
      </c>
      <c r="D169" s="1903"/>
      <c r="E169" s="1903"/>
      <c r="F169" s="1857"/>
      <c r="I169" s="1917">
        <f>'Part I-Project Information'!I145</f>
        <v>0</v>
      </c>
      <c r="K169" s="1856" t="s">
        <v>6482</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6483</v>
      </c>
      <c r="O170" s="1913">
        <f>'Part I-Project Information'!O146</f>
        <v>0</v>
      </c>
      <c r="P170" s="1913"/>
      <c r="Z170" s="1857">
        <v>146</v>
      </c>
    </row>
    <row r="171" spans="1:26" s="1856" customFormat="1" ht="12" customHeight="1">
      <c r="A171" s="1857"/>
      <c r="B171" s="1857"/>
      <c r="C171" s="1903" t="s">
        <v>2310</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2308</v>
      </c>
      <c r="F172" s="1857" t="s">
        <v>6396</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6838</v>
      </c>
      <c r="I175" s="1879">
        <f>'Part I-Project Information'!I151</f>
        <v>0</v>
      </c>
      <c r="K175" s="1856" t="s">
        <v>6480</v>
      </c>
      <c r="M175" s="1857"/>
      <c r="O175" s="1913">
        <f>'Part I-Project Information'!O151</f>
        <v>0</v>
      </c>
      <c r="P175" s="1913"/>
      <c r="Z175" s="1857">
        <v>151</v>
      </c>
    </row>
    <row r="176" spans="1:26" s="1856" customFormat="1" ht="12" customHeight="1">
      <c r="A176" s="1857"/>
      <c r="B176" s="1857"/>
      <c r="C176" s="1903" t="s">
        <v>6397</v>
      </c>
      <c r="D176" s="1903"/>
      <c r="E176" s="1903"/>
      <c r="F176" s="1857"/>
      <c r="I176" s="1917">
        <f>'Part I-Project Information'!I152</f>
        <v>0</v>
      </c>
      <c r="K176" s="1856" t="s">
        <v>6482</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6483</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6396</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7079</v>
      </c>
      <c r="F182" s="1865"/>
      <c r="G182" s="1865"/>
      <c r="I182" s="1918">
        <f>'Part I-Project Information'!I158</f>
        <v>0</v>
      </c>
      <c r="K182" s="1865" t="s">
        <v>4087</v>
      </c>
      <c r="L182" s="1865"/>
      <c r="M182" s="1865"/>
      <c r="O182" s="1918">
        <f>'Part I-Project Information'!O158</f>
        <v>0</v>
      </c>
      <c r="P182" s="1880"/>
      <c r="Z182" s="1857">
        <v>158</v>
      </c>
    </row>
    <row r="183" spans="1:26" s="1856" customFormat="1" ht="12" customHeight="1">
      <c r="A183" s="1857"/>
      <c r="C183" s="1903"/>
      <c r="D183" s="1903"/>
      <c r="E183" s="1865" t="s">
        <v>7080</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4084</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6839</v>
      </c>
      <c r="D191" s="1907"/>
      <c r="E191" s="1907"/>
      <c r="F191" s="1907"/>
      <c r="I191" s="1856" t="s">
        <v>3963</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3962</v>
      </c>
      <c r="K192" s="1907"/>
      <c r="L192" s="1907"/>
      <c r="N192" s="1920">
        <f>'Part I-Project Information'!N168</f>
        <v>0</v>
      </c>
      <c r="P192" s="1921">
        <f>'Part I-Project Information'!P168</f>
        <v>0</v>
      </c>
      <c r="Z192" s="1868">
        <v>168</v>
      </c>
    </row>
    <row r="193" spans="1:26" s="1856" customFormat="1" ht="12" customHeight="1">
      <c r="A193" s="1857"/>
      <c r="B193" s="1857"/>
      <c r="C193" s="1865" t="s">
        <v>6303</v>
      </c>
      <c r="D193" s="1883"/>
      <c r="E193" s="1883"/>
      <c r="F193" s="1857"/>
      <c r="G193" s="1857"/>
      <c r="H193" s="1857"/>
      <c r="I193" s="1918">
        <f>'Part I-Project Information'!I169</f>
        <v>0</v>
      </c>
      <c r="J193" s="1858" t="s">
        <v>6304</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3928</v>
      </c>
      <c r="N195" s="1878">
        <f>'Part I-Project Information'!N171</f>
        <v>0</v>
      </c>
      <c r="O195" s="1878"/>
      <c r="P195" s="1878"/>
      <c r="Z195" s="1857">
        <v>171</v>
      </c>
    </row>
    <row r="196" spans="1:26" s="1856" customFormat="1" ht="12.6" customHeight="1">
      <c r="A196" s="1857"/>
      <c r="B196" s="1857"/>
      <c r="C196" s="1858" t="s">
        <v>3929</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3964</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6523</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f>'Part I-Project Information'!I179</f>
        <v>0</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t="str">
        <f>'Part I-Project Information'!I180</f>
        <v>Yes</v>
      </c>
      <c r="J204" s="1856" t="s">
        <v>731</v>
      </c>
      <c r="L204" s="1918">
        <f>'Part I-Project Information'!L180</f>
        <v>2053</v>
      </c>
      <c r="M204" s="1856" t="s">
        <v>2222</v>
      </c>
      <c r="P204" s="1923">
        <f>'Part I-Project Information'!P180</f>
        <v>30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6798</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6487</v>
      </c>
      <c r="E209" s="1865"/>
      <c r="F209" s="1925"/>
      <c r="G209" s="1925"/>
      <c r="H209" s="1925"/>
      <c r="I209" s="1926"/>
      <c r="J209" s="1926"/>
      <c r="K209" s="1926"/>
      <c r="L209" s="1918" t="str">
        <f>'Part I-Project Information'!L185</f>
        <v>Yes</v>
      </c>
      <c r="M209" s="1874" t="s">
        <v>6488</v>
      </c>
      <c r="N209" s="1925"/>
      <c r="O209" s="1928">
        <f>'Part I-Project Information'!O185</f>
        <v>44170</v>
      </c>
      <c r="P209" s="1928"/>
      <c r="Z209" s="1857">
        <v>185</v>
      </c>
    </row>
    <row r="210" spans="1:26" ht="12" customHeight="1">
      <c r="B210" s="1865"/>
      <c r="C210" s="1927" t="s">
        <v>1898</v>
      </c>
      <c r="D210" s="1874" t="s">
        <v>6617</v>
      </c>
      <c r="E210" s="1865"/>
      <c r="F210" s="1925"/>
      <c r="G210" s="1925"/>
      <c r="H210" s="1925"/>
      <c r="I210" s="1926"/>
      <c r="J210" s="1926"/>
      <c r="K210" s="1926"/>
      <c r="L210" s="1918" t="str">
        <f>'Part I-Project Information'!L186</f>
        <v>No</v>
      </c>
      <c r="M210" s="1874" t="s">
        <v>6488</v>
      </c>
      <c r="N210" s="1925"/>
      <c r="O210" s="1928">
        <f>'Part I-Project Information'!O186</f>
        <v>0</v>
      </c>
      <c r="P210" s="1928"/>
      <c r="Z210" s="1857">
        <v>186</v>
      </c>
    </row>
    <row r="211" spans="1:26" ht="12" customHeight="1">
      <c r="B211" s="1865"/>
      <c r="C211" s="1927" t="s">
        <v>2416</v>
      </c>
      <c r="D211" s="1874" t="s">
        <v>6489</v>
      </c>
      <c r="E211" s="1865"/>
      <c r="F211" s="1925"/>
      <c r="G211" s="1925"/>
      <c r="H211" s="1925"/>
      <c r="I211" s="1926"/>
      <c r="J211" s="1926"/>
      <c r="K211" s="1926"/>
      <c r="L211" s="1918" t="str">
        <f>'Part I-Project Information'!L187</f>
        <v>Yes</v>
      </c>
      <c r="M211" s="1874" t="s">
        <v>6488</v>
      </c>
      <c r="N211" s="1925"/>
      <c r="O211" s="1928">
        <f>'Part I-Project Information'!O187</f>
        <v>44132</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6801</v>
      </c>
      <c r="D213" s="1925"/>
      <c r="E213" s="1925"/>
      <c r="F213" s="1925"/>
      <c r="G213" s="1925"/>
      <c r="H213" s="1931">
        <f>'Part I-Project Information'!H189</f>
        <v>44132</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6789</v>
      </c>
      <c r="D215" s="1936"/>
      <c r="E215" s="1936"/>
      <c r="F215" s="1936"/>
      <c r="G215" s="1865"/>
      <c r="H215" s="1874" t="s">
        <v>6803</v>
      </c>
      <c r="I215" s="1874"/>
      <c r="J215" s="1874" t="s">
        <v>6788</v>
      </c>
      <c r="K215" s="1874"/>
      <c r="L215" s="1874" t="s">
        <v>6787</v>
      </c>
      <c r="M215" s="1874"/>
      <c r="N215" s="1874"/>
      <c r="O215" s="1874"/>
      <c r="P215" s="1874"/>
      <c r="Z215" s="1857">
        <v>191</v>
      </c>
    </row>
    <row r="216" spans="1:26">
      <c r="A216" s="1934"/>
      <c r="B216" s="1937"/>
      <c r="C216" s="1936" t="s">
        <v>6799</v>
      </c>
      <c r="D216" s="1936"/>
      <c r="E216" s="1936"/>
      <c r="F216" s="1938" t="s">
        <v>6781</v>
      </c>
      <c r="G216" s="1938" t="s">
        <v>6782</v>
      </c>
      <c r="H216" s="1939">
        <f>'Part I-Project Information'!H192</f>
        <v>44132</v>
      </c>
      <c r="I216" s="1940" t="s">
        <v>6783</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6784</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6785</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6490</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6786</v>
      </c>
      <c r="D220" s="1937"/>
      <c r="E220" s="1856"/>
      <c r="F220" s="1923">
        <f>'Part I-Project Information'!F196</f>
        <v>1</v>
      </c>
      <c r="G220" s="1923">
        <f>'Part I-Project Information'!G196</f>
        <v>49</v>
      </c>
      <c r="H220" s="1941">
        <f>'Part I-Project Information'!H196</f>
        <v>0.36</v>
      </c>
      <c r="I220" s="1941">
        <f>'Part I-Project Information'!I196</f>
        <v>0.36</v>
      </c>
      <c r="J220" s="1928" t="str">
        <f>'Part I-Project Information'!J196</f>
        <v>N/A</v>
      </c>
      <c r="K220" s="1928"/>
      <c r="L220" s="1942" t="str">
        <f>'Part I-Project Information'!L196</f>
        <v>Non-residential occupants</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6802</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At time of application there are 18 businesses occupying 49 total units of retail/professional space in the proposed project.  Of these 13 are currently operating under a month-to-month lease.  The remaining 3 leases will expire prior to notification of a written award and will not be renewed.  Any tenant occupying space at the time of the written notification of the award will be given not less than 6 month’s advance notice to vacate.  The real estate contract states that the current owner will cover any relocation costs for eligible tenants.  However, there are expected to be no tenants remaining at time of redevelopment.</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6545</v>
      </c>
      <c r="P229" s="1918" t="str">
        <f>'Part I-Project Information'!P205</f>
        <v>No</v>
      </c>
      <c r="Z229" s="1857">
        <v>205</v>
      </c>
    </row>
    <row r="230" spans="1:26" s="1856" customFormat="1" ht="12.6" customHeight="1">
      <c r="A230" s="1857"/>
      <c r="C230" s="1856" t="s">
        <v>2567</v>
      </c>
      <c r="I230" s="1918" t="str">
        <f>'Part I-Project Information'!I206</f>
        <v>No</v>
      </c>
      <c r="L230" s="1856" t="s">
        <v>2541</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4126</v>
      </c>
      <c r="I232" s="1918" t="str">
        <f>'Part I-Project Information'!I208</f>
        <v>No</v>
      </c>
      <c r="J232" s="1954" t="s">
        <v>2585</v>
      </c>
      <c r="O232" s="1955">
        <f>-'Part I-Project Information'!O208</f>
        <v>0</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6399</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2192</v>
      </c>
      <c r="I239" s="1928">
        <f>'Part I-Project Information'!I215</f>
        <v>45139</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t="str">
        <f>'Part I-Project Information'!A218</f>
        <v xml:space="preserve">There have been no changes to the development team since pre-application.  The team has been determinded "Qualified" by DCA for the 2021 funding application round.  
The total square footage for the building is 104,053 of which 3403 square feet of commercial space is included.  The applicant refelcted only the residential square footage along with the residential common area space in the space provided above in the application in Part 1 of 100,650 total square feet.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2021-006 Wagon Works, ,  County</v>
      </c>
      <c r="Z247" s="1857">
        <v>2</v>
      </c>
    </row>
    <row r="248" spans="1:26" s="1865" customFormat="1" ht="12" customHeight="1">
      <c r="A248" s="1858" t="s">
        <v>3811</v>
      </c>
      <c r="Z248" s="1857">
        <v>3</v>
      </c>
    </row>
    <row r="249" spans="1:26" s="1856" customFormat="1" ht="13.35" customHeight="1">
      <c r="A249" s="1856" t="s">
        <v>586</v>
      </c>
      <c r="B249" s="1858" t="s">
        <v>1772</v>
      </c>
      <c r="C249" s="1858"/>
      <c r="E249" s="1858"/>
      <c r="F249" s="1858"/>
      <c r="G249" s="1858"/>
      <c r="H249" s="1859" t="s">
        <v>3613</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Hallmark Wagon Works, LP</v>
      </c>
      <c r="I251" s="1914"/>
      <c r="J251" s="1914"/>
      <c r="K251" s="1914"/>
      <c r="L251" s="1914"/>
      <c r="M251" s="1914"/>
      <c r="N251" s="1914"/>
      <c r="O251" s="1888" t="s">
        <v>1899</v>
      </c>
      <c r="P251" s="1888"/>
      <c r="Q251" s="1863" t="str">
        <f>'Part II-Development Team'!Q6</f>
        <v>Martin H. Petersen</v>
      </c>
      <c r="R251" s="1914"/>
      <c r="S251" s="1914"/>
      <c r="Z251" s="1857">
        <v>6</v>
      </c>
    </row>
    <row r="252" spans="1:26" s="1856" customFormat="1" ht="11.25" customHeight="1">
      <c r="D252" s="1887"/>
      <c r="E252" s="1858" t="s">
        <v>982</v>
      </c>
      <c r="F252" s="1860"/>
      <c r="H252" s="1863" t="str">
        <f>'Part II-Development Team'!H7</f>
        <v>3111 Paces Mill Road, Suite A-250</v>
      </c>
      <c r="I252" s="1914"/>
      <c r="J252" s="1914"/>
      <c r="K252" s="1914"/>
      <c r="L252" s="1914"/>
      <c r="M252" s="1914"/>
      <c r="N252" s="1914"/>
      <c r="O252" s="1888" t="s">
        <v>1668</v>
      </c>
      <c r="P252" s="1863"/>
      <c r="Q252" s="1863" t="str">
        <f>'Part II-Development Team'!Q7</f>
        <v>Manager of the GP</v>
      </c>
      <c r="R252" s="1914"/>
      <c r="S252" s="1914"/>
      <c r="Z252" s="1857">
        <v>7</v>
      </c>
    </row>
    <row r="253" spans="1:26" s="1856" customFormat="1" ht="11.25" customHeight="1">
      <c r="D253" s="1887"/>
      <c r="E253" s="1858" t="s">
        <v>588</v>
      </c>
      <c r="H253" s="1863" t="str">
        <f>'Part II-Development Team'!H8</f>
        <v>Atlanta</v>
      </c>
      <c r="I253" s="1914"/>
      <c r="J253" s="1914"/>
      <c r="K253" s="1879" t="s">
        <v>732</v>
      </c>
      <c r="L253" s="1863" t="str">
        <f>'Part II-Development Team'!L8</f>
        <v>TBD</v>
      </c>
      <c r="M253" s="1914"/>
      <c r="N253" s="1914"/>
      <c r="O253" s="1888" t="s">
        <v>1644</v>
      </c>
      <c r="P253" s="1863"/>
      <c r="Q253" s="1878">
        <f>'Part II-Development Team'!Q8</f>
        <v>7706350157</v>
      </c>
      <c r="R253" s="1878"/>
      <c r="S253" s="1878"/>
      <c r="Z253" s="1857">
        <v>8</v>
      </c>
    </row>
    <row r="254" spans="1:26" s="1856" customFormat="1" ht="11.25" customHeight="1">
      <c r="D254" s="1887"/>
      <c r="E254" s="1858" t="s">
        <v>1717</v>
      </c>
      <c r="H254" s="1888" t="str">
        <f>'Part II-Development Team'!H9</f>
        <v>GA</v>
      </c>
      <c r="I254" s="1879" t="s">
        <v>2128</v>
      </c>
      <c r="J254" s="1877">
        <f>'Part II-Development Team'!J9</f>
        <v>303395704</v>
      </c>
      <c r="K254" s="1914"/>
      <c r="L254" s="1863" t="s">
        <v>3323</v>
      </c>
      <c r="M254" s="1863" t="str">
        <f>'Part II-Development Team'!M9</f>
        <v>For Profit</v>
      </c>
      <c r="N254" s="1863"/>
      <c r="O254" s="1888" t="s">
        <v>1889</v>
      </c>
      <c r="P254" s="1863"/>
      <c r="Q254" s="1878">
        <f>'Part II-Development Team'!Q9</f>
        <v>4042340004</v>
      </c>
      <c r="R254" s="1878"/>
      <c r="S254" s="1878"/>
      <c r="Z254" s="1857">
        <v>9</v>
      </c>
    </row>
    <row r="255" spans="1:26" s="1856" customFormat="1" ht="11.25" customHeight="1">
      <c r="D255" s="1887"/>
      <c r="E255" s="1858" t="s">
        <v>3614</v>
      </c>
      <c r="H255" s="1878">
        <f>'Part II-Development Team'!H10</f>
        <v>7709842100</v>
      </c>
      <c r="I255" s="1878"/>
      <c r="J255" s="1918">
        <f>'Part II-Development Team'!J10</f>
        <v>107</v>
      </c>
      <c r="K255" s="1879" t="s">
        <v>1894</v>
      </c>
      <c r="L255" s="1872" t="str">
        <f>'Part II-Development Team'!L10</f>
        <v>ppetersen@hallmarkco.com</v>
      </c>
      <c r="M255" s="1872"/>
      <c r="N255" s="1872"/>
      <c r="O255" s="1872"/>
      <c r="P255" s="1872"/>
      <c r="Q255" s="1872"/>
      <c r="R255" s="1872"/>
      <c r="S255" s="1872"/>
      <c r="Z255" s="1868">
        <v>10</v>
      </c>
    </row>
    <row r="256" spans="1:26" s="1856" customFormat="1" ht="11.25" customHeight="1">
      <c r="D256" s="1887"/>
      <c r="E256" s="1859" t="s">
        <v>3613</v>
      </c>
      <c r="H256" s="1958"/>
      <c r="I256" s="1863"/>
      <c r="J256" s="1863"/>
      <c r="K256" s="1869"/>
      <c r="L256" s="1863"/>
      <c r="M256" s="1863"/>
      <c r="N256" s="1863" t="s">
        <v>6840</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Hallmark Wagon Works GP, LLC</v>
      </c>
      <c r="I260" s="1914"/>
      <c r="J260" s="1914"/>
      <c r="K260" s="1914"/>
      <c r="L260" s="1914"/>
      <c r="M260" s="1914"/>
      <c r="N260" s="1914"/>
      <c r="O260" s="1888" t="s">
        <v>1899</v>
      </c>
      <c r="P260" s="1888"/>
      <c r="Q260" s="1863" t="str">
        <f>'Part II-Development Team'!Q15</f>
        <v>Martin H. Petersen</v>
      </c>
      <c r="R260" s="1914"/>
      <c r="S260" s="1914"/>
      <c r="Z260" s="1857">
        <v>15</v>
      </c>
    </row>
    <row r="261" spans="2:26" s="1856" customFormat="1" ht="11.25" customHeight="1">
      <c r="D261" s="1887"/>
      <c r="E261" s="1858" t="s">
        <v>982</v>
      </c>
      <c r="F261" s="1860"/>
      <c r="H261" s="1863" t="str">
        <f>'Part II-Development Team'!H16</f>
        <v>3111 Paces Mill Road, Suite A-250</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Atlanta</v>
      </c>
      <c r="I262" s="1914"/>
      <c r="J262" s="1914"/>
      <c r="K262" s="1879" t="s">
        <v>2553</v>
      </c>
      <c r="L262" s="1863" t="str">
        <f>'Part II-Development Team'!L17</f>
        <v>www.hallmarkco.com</v>
      </c>
      <c r="M262" s="1914"/>
      <c r="N262" s="1914"/>
      <c r="O262" s="1888" t="s">
        <v>1644</v>
      </c>
      <c r="P262" s="1863"/>
      <c r="Q262" s="1878">
        <f>'Part II-Development Team'!Q17</f>
        <v>7706350157</v>
      </c>
      <c r="R262" s="1878"/>
      <c r="S262" s="1878"/>
      <c r="Z262" s="1857">
        <v>17</v>
      </c>
    </row>
    <row r="263" spans="2:26" s="1856" customFormat="1" ht="11.25" customHeight="1">
      <c r="E263" s="1858" t="s">
        <v>1717</v>
      </c>
      <c r="H263" s="1888" t="str">
        <f>'Part II-Development Team'!H18</f>
        <v>GA</v>
      </c>
      <c r="I263" s="1863"/>
      <c r="J263" s="1863"/>
      <c r="K263" s="1879" t="s">
        <v>2128</v>
      </c>
      <c r="L263" s="1877">
        <f>'Part II-Development Team'!L18</f>
        <v>303395704</v>
      </c>
      <c r="M263" s="1914"/>
      <c r="N263" s="1863"/>
      <c r="O263" s="1888" t="s">
        <v>1889</v>
      </c>
      <c r="P263" s="1863"/>
      <c r="Q263" s="1878">
        <f>'Part II-Development Team'!Q18</f>
        <v>4042340004</v>
      </c>
      <c r="R263" s="1878"/>
      <c r="S263" s="1878"/>
      <c r="Z263" s="1857">
        <v>18</v>
      </c>
    </row>
    <row r="264" spans="2:26" s="1856" customFormat="1" ht="11.25" customHeight="1">
      <c r="D264" s="1887"/>
      <c r="E264" s="1858" t="s">
        <v>3614</v>
      </c>
      <c r="H264" s="1878">
        <f>'Part II-Development Team'!H19</f>
        <v>7709842100</v>
      </c>
      <c r="I264" s="1878"/>
      <c r="J264" s="1918">
        <f>'Part II-Development Team'!J19</f>
        <v>107</v>
      </c>
      <c r="K264" s="1879" t="s">
        <v>1894</v>
      </c>
      <c r="L264" s="1872" t="str">
        <f>'Part II-Development Team'!L19</f>
        <v>ppetersen@hallmarkco.com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3614</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3614</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3613</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Boston Financial Investment Management, LP</v>
      </c>
      <c r="I279" s="1914"/>
      <c r="J279" s="1914"/>
      <c r="K279" s="1914"/>
      <c r="L279" s="1914"/>
      <c r="M279" s="1914"/>
      <c r="N279" s="1914"/>
      <c r="O279" s="1888" t="s">
        <v>1899</v>
      </c>
      <c r="P279" s="1888"/>
      <c r="Q279" s="1863" t="str">
        <f>'Part II-Development Team'!Q34</f>
        <v>Thomas Paramore</v>
      </c>
      <c r="R279" s="1914"/>
      <c r="S279" s="1914"/>
      <c r="Z279" s="1857">
        <v>34</v>
      </c>
    </row>
    <row r="280" spans="3:26" s="1856" customFormat="1" ht="11.25" customHeight="1">
      <c r="D280" s="1887"/>
      <c r="E280" s="1858" t="s">
        <v>982</v>
      </c>
      <c r="F280" s="1860"/>
      <c r="H280" s="1863" t="str">
        <f>'Part II-Development Team'!H35</f>
        <v>6006 Brownsboro Park Blvd, Suite B</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Louisville</v>
      </c>
      <c r="I281" s="1914"/>
      <c r="J281" s="1914"/>
      <c r="K281" s="1879" t="s">
        <v>2553</v>
      </c>
      <c r="L281" s="1863" t="str">
        <f>'Part II-Development Team'!L36</f>
        <v>www.bfim.com</v>
      </c>
      <c r="M281" s="1914"/>
      <c r="N281" s="1914"/>
      <c r="O281" s="1888" t="s">
        <v>1644</v>
      </c>
      <c r="P281" s="1863"/>
      <c r="Q281" s="1878">
        <f>'Part II-Development Team'!Q36</f>
        <v>5024509952</v>
      </c>
      <c r="R281" s="1878"/>
      <c r="S281" s="1878"/>
      <c r="Z281" s="1857">
        <v>36</v>
      </c>
    </row>
    <row r="282" spans="3:26" s="1856" customFormat="1" ht="11.25" customHeight="1">
      <c r="E282" s="1858" t="s">
        <v>1717</v>
      </c>
      <c r="H282" s="1888" t="str">
        <f>'Part II-Development Team'!H37</f>
        <v>KY</v>
      </c>
      <c r="I282" s="1863"/>
      <c r="J282" s="1863"/>
      <c r="K282" s="1879" t="s">
        <v>2128</v>
      </c>
      <c r="L282" s="1877">
        <f>'Part II-Development Team'!L37</f>
        <v>402071296</v>
      </c>
      <c r="M282" s="1914"/>
      <c r="N282" s="1863"/>
      <c r="O282" s="1888" t="s">
        <v>1889</v>
      </c>
      <c r="P282" s="1863"/>
      <c r="Q282" s="1878">
        <f>'Part II-Development Team'!Q37</f>
        <v>5024037171</v>
      </c>
      <c r="R282" s="1878"/>
      <c r="S282" s="1878"/>
      <c r="Z282" s="1857">
        <v>37</v>
      </c>
    </row>
    <row r="283" spans="3:26" s="1856" customFormat="1" ht="11.25" customHeight="1">
      <c r="D283" s="1887"/>
      <c r="E283" s="1858" t="s">
        <v>3614</v>
      </c>
      <c r="H283" s="1878">
        <f>'Part II-Development Team'!H38</f>
        <v>5024509952</v>
      </c>
      <c r="I283" s="1878"/>
      <c r="J283" s="1918">
        <f>'Part II-Development Team'!J38</f>
        <v>0</v>
      </c>
      <c r="K283" s="1879" t="s">
        <v>1894</v>
      </c>
      <c r="L283" s="1872" t="str">
        <f>'Part II-Development Team'!L38</f>
        <v>thomas.paramore@bfim.com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Boston Financial Investment Management, LP</v>
      </c>
      <c r="I285" s="1914"/>
      <c r="J285" s="1914"/>
      <c r="K285" s="1914"/>
      <c r="L285" s="1914"/>
      <c r="M285" s="1914"/>
      <c r="N285" s="1914"/>
      <c r="O285" s="1888" t="s">
        <v>1899</v>
      </c>
      <c r="P285" s="1888"/>
      <c r="Q285" s="1863" t="str">
        <f>'Part II-Development Team'!Q40</f>
        <v>Thomas Paramore</v>
      </c>
      <c r="R285" s="1914"/>
      <c r="S285" s="1914"/>
      <c r="Z285" s="1857">
        <v>40</v>
      </c>
    </row>
    <row r="286" spans="3:26" s="1856" customFormat="1" ht="11.25" customHeight="1">
      <c r="D286" s="1887"/>
      <c r="E286" s="1858" t="s">
        <v>982</v>
      </c>
      <c r="F286" s="1860"/>
      <c r="H286" s="1863" t="str">
        <f>'Part II-Development Team'!H41</f>
        <v>6006 Brownsboro Park Blvd, Suite B</v>
      </c>
      <c r="I286" s="1914"/>
      <c r="J286" s="1914"/>
      <c r="K286" s="1914"/>
      <c r="L286" s="1914"/>
      <c r="M286" s="1914"/>
      <c r="N286" s="1914"/>
      <c r="O286" s="1888" t="s">
        <v>1668</v>
      </c>
      <c r="P286" s="1863"/>
      <c r="Q286" s="1863" t="str">
        <f>'Part II-Development Team'!Q41</f>
        <v>Senior Vice President</v>
      </c>
      <c r="R286" s="1914"/>
      <c r="S286" s="1914"/>
      <c r="Z286" s="1857">
        <v>41</v>
      </c>
    </row>
    <row r="287" spans="3:26" s="1856" customFormat="1" ht="11.25" customHeight="1">
      <c r="D287" s="1887"/>
      <c r="E287" s="1858" t="s">
        <v>588</v>
      </c>
      <c r="H287" s="1863" t="str">
        <f>'Part II-Development Team'!H42</f>
        <v>Louisville</v>
      </c>
      <c r="I287" s="1914"/>
      <c r="J287" s="1914"/>
      <c r="K287" s="1879" t="s">
        <v>2553</v>
      </c>
      <c r="L287" s="1863" t="str">
        <f>'Part II-Development Team'!L42</f>
        <v>www.bfim.com</v>
      </c>
      <c r="M287" s="1914"/>
      <c r="N287" s="1914"/>
      <c r="O287" s="1888" t="s">
        <v>1644</v>
      </c>
      <c r="P287" s="1863"/>
      <c r="Q287" s="1878">
        <f>'Part II-Development Team'!Q42</f>
        <v>5024509952</v>
      </c>
      <c r="R287" s="1878"/>
      <c r="S287" s="1878"/>
      <c r="Z287" s="1857">
        <v>42</v>
      </c>
    </row>
    <row r="288" spans="3:26" s="1856" customFormat="1" ht="11.25" customHeight="1">
      <c r="E288" s="1858" t="s">
        <v>1717</v>
      </c>
      <c r="H288" s="1888" t="str">
        <f>'Part II-Development Team'!H43</f>
        <v>KY</v>
      </c>
      <c r="I288" s="1863"/>
      <c r="J288" s="1863"/>
      <c r="K288" s="1879" t="s">
        <v>2128</v>
      </c>
      <c r="L288" s="1877">
        <f>'Part II-Development Team'!L43</f>
        <v>402071296</v>
      </c>
      <c r="M288" s="1914"/>
      <c r="N288" s="1863"/>
      <c r="O288" s="1888" t="s">
        <v>1889</v>
      </c>
      <c r="P288" s="1863"/>
      <c r="Q288" s="1878">
        <f>'Part II-Development Team'!Q43</f>
        <v>5024037171</v>
      </c>
      <c r="R288" s="1878"/>
      <c r="S288" s="1878"/>
      <c r="Z288" s="1857">
        <v>43</v>
      </c>
    </row>
    <row r="289" spans="1:26" s="1856" customFormat="1" ht="11.25" customHeight="1">
      <c r="D289" s="1887"/>
      <c r="E289" s="1858" t="s">
        <v>3614</v>
      </c>
      <c r="H289" s="1878">
        <f>'Part II-Development Team'!H44</f>
        <v>5024509952</v>
      </c>
      <c r="I289" s="1878"/>
      <c r="J289" s="1918">
        <f>'Part II-Development Team'!J44</f>
        <v>0</v>
      </c>
      <c r="K289" s="1879" t="s">
        <v>1894</v>
      </c>
      <c r="L289" s="1872" t="str">
        <f>'Part II-Development Team'!L44</f>
        <v>thomas.paramore@bfim.com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3613</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1899</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2553</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2128</v>
      </c>
      <c r="L295" s="1877">
        <f>'Part II-Development Team'!L50</f>
        <v>0</v>
      </c>
      <c r="M295" s="1914"/>
      <c r="N295" s="1863"/>
      <c r="O295" s="1888" t="s">
        <v>1889</v>
      </c>
      <c r="P295" s="1863"/>
      <c r="Q295" s="1878">
        <f>'Part II-Development Team'!Q50</f>
        <v>0</v>
      </c>
      <c r="R295" s="1878"/>
      <c r="S295" s="1878"/>
      <c r="Z295" s="1857">
        <v>50</v>
      </c>
    </row>
    <row r="296" spans="1:26" s="1856" customFormat="1" ht="11.25" customHeight="1">
      <c r="D296" s="1887"/>
      <c r="E296" s="1858" t="s">
        <v>3614</v>
      </c>
      <c r="H296" s="1878">
        <f>'Part II-Development Team'!H51</f>
        <v>0</v>
      </c>
      <c r="I296" s="1878"/>
      <c r="J296" s="1918">
        <f>'Part II-Development Team'!J51</f>
        <v>0</v>
      </c>
      <c r="K296" s="1879" t="s">
        <v>1894</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3613</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Hallmark Development Partners, LLC</v>
      </c>
      <c r="I300" s="1914"/>
      <c r="J300" s="1914"/>
      <c r="K300" s="1914"/>
      <c r="L300" s="1914"/>
      <c r="M300" s="1914"/>
      <c r="N300" s="1914"/>
      <c r="O300" s="1888" t="s">
        <v>1899</v>
      </c>
      <c r="P300" s="1888"/>
      <c r="Q300" s="1863" t="str">
        <f>'Part II-Development Team'!Q55</f>
        <v>Martin H. Petersen</v>
      </c>
      <c r="R300" s="1914"/>
      <c r="S300" s="1914"/>
      <c r="Z300" s="1857">
        <v>55</v>
      </c>
    </row>
    <row r="301" spans="1:26" s="1856" customFormat="1" ht="11.25" customHeight="1">
      <c r="D301" s="1887"/>
      <c r="E301" s="1858" t="s">
        <v>982</v>
      </c>
      <c r="F301" s="1860"/>
      <c r="H301" s="1863" t="str">
        <f>'Part II-Development Team'!H56</f>
        <v>3111 Paces Mill Road, Suite A-250</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Atlanta</v>
      </c>
      <c r="I302" s="1914"/>
      <c r="J302" s="1914"/>
      <c r="K302" s="1879" t="s">
        <v>2553</v>
      </c>
      <c r="L302" s="1863" t="str">
        <f>'Part II-Development Team'!L57</f>
        <v>www.hallmarkco.com</v>
      </c>
      <c r="M302" s="1914"/>
      <c r="N302" s="1914"/>
      <c r="O302" s="1888" t="s">
        <v>1644</v>
      </c>
      <c r="P302" s="1863"/>
      <c r="Q302" s="1878">
        <f>'Part II-Development Team'!Q57</f>
        <v>7706350157</v>
      </c>
      <c r="R302" s="1878"/>
      <c r="S302" s="1878"/>
      <c r="Z302" s="1857">
        <v>57</v>
      </c>
    </row>
    <row r="303" spans="1:26" s="1856" customFormat="1" ht="11.25" customHeight="1">
      <c r="E303" s="1858" t="s">
        <v>1717</v>
      </c>
      <c r="H303" s="1888" t="str">
        <f>'Part II-Development Team'!H58</f>
        <v>GA</v>
      </c>
      <c r="I303" s="1863"/>
      <c r="J303" s="1863"/>
      <c r="K303" s="1879" t="s">
        <v>2128</v>
      </c>
      <c r="L303" s="1877">
        <f>'Part II-Development Team'!L58</f>
        <v>303395704</v>
      </c>
      <c r="M303" s="1914"/>
      <c r="N303" s="1863"/>
      <c r="O303" s="1888" t="s">
        <v>1889</v>
      </c>
      <c r="P303" s="1863"/>
      <c r="Q303" s="1878">
        <f>'Part II-Development Team'!Q58</f>
        <v>4042340004</v>
      </c>
      <c r="R303" s="1878"/>
      <c r="S303" s="1878"/>
      <c r="Z303" s="1857">
        <v>58</v>
      </c>
    </row>
    <row r="304" spans="1:26" s="1856" customFormat="1" ht="11.25" customHeight="1">
      <c r="D304" s="1887"/>
      <c r="E304" s="1858" t="s">
        <v>3614</v>
      </c>
      <c r="H304" s="1878">
        <f>'Part II-Development Team'!H59</f>
        <v>7709842100</v>
      </c>
      <c r="I304" s="1878"/>
      <c r="J304" s="1918">
        <f>'Part II-Development Team'!J59</f>
        <v>107</v>
      </c>
      <c r="K304" s="1879" t="s">
        <v>1894</v>
      </c>
      <c r="L304" s="1872" t="str">
        <f>'Part II-Development Team'!L59</f>
        <v>ppetersen@hallmarkco.com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f>'Part II-Development Team'!H61</f>
        <v>0</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2553</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3614</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2553</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3614</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3614</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3613</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3614</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Great Southern, LLC</v>
      </c>
      <c r="I332" s="1914"/>
      <c r="J332" s="1914"/>
      <c r="K332" s="1914"/>
      <c r="L332" s="1914"/>
      <c r="M332" s="1914"/>
      <c r="N332" s="1914"/>
      <c r="O332" s="1888" t="s">
        <v>1899</v>
      </c>
      <c r="P332" s="1888"/>
      <c r="Q332" s="1863" t="str">
        <f>'Part II-Development Team'!Q87</f>
        <v>Mike McGlamry</v>
      </c>
      <c r="R332" s="1914"/>
      <c r="S332" s="1914"/>
      <c r="Z332" s="1868">
        <v>87</v>
      </c>
    </row>
    <row r="333" spans="1:26" s="1856" customFormat="1" ht="11.25" customHeight="1">
      <c r="D333" s="1887"/>
      <c r="E333" s="1858" t="s">
        <v>982</v>
      </c>
      <c r="F333" s="1860"/>
      <c r="H333" s="1863" t="str">
        <f>'Part II-Development Team'!H88</f>
        <v>2009 Springhill Drive</v>
      </c>
      <c r="I333" s="1914"/>
      <c r="J333" s="1914"/>
      <c r="K333" s="1914"/>
      <c r="L333" s="1914"/>
      <c r="M333" s="1914"/>
      <c r="N333" s="1914"/>
      <c r="O333" s="1888" t="s">
        <v>1668</v>
      </c>
      <c r="P333" s="1863"/>
      <c r="Q333" s="1863" t="str">
        <f>'Part II-Development Team'!Q88</f>
        <v>Manager</v>
      </c>
      <c r="R333" s="1914"/>
      <c r="S333" s="1914"/>
      <c r="Z333" s="1857">
        <v>88</v>
      </c>
    </row>
    <row r="334" spans="1:26" s="1856" customFormat="1" ht="11.25" customHeight="1">
      <c r="D334" s="1887"/>
      <c r="E334" s="1858" t="s">
        <v>588</v>
      </c>
      <c r="H334" s="1863" t="str">
        <f>'Part II-Development Team'!H89</f>
        <v>Valdosta</v>
      </c>
      <c r="I334" s="1914"/>
      <c r="J334" s="1914"/>
      <c r="K334" s="1879" t="s">
        <v>2553</v>
      </c>
      <c r="L334" s="1863" t="str">
        <f>'Part II-Development Team'!L89</f>
        <v>www.greatsouthernllc.com</v>
      </c>
      <c r="M334" s="1914"/>
      <c r="N334" s="1914"/>
      <c r="O334" s="1888" t="s">
        <v>1644</v>
      </c>
      <c r="P334" s="1863"/>
      <c r="Q334" s="1878">
        <f>'Part II-Development Team'!Q89</f>
        <v>2295619997</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316022135</v>
      </c>
      <c r="M335" s="1914"/>
      <c r="N335" s="1863"/>
      <c r="O335" s="1888" t="s">
        <v>1889</v>
      </c>
      <c r="P335" s="1863"/>
      <c r="Q335" s="1878">
        <f>'Part II-Development Team'!Q90</f>
        <v>2295619997</v>
      </c>
      <c r="R335" s="1878"/>
      <c r="S335" s="1878"/>
      <c r="Z335" s="1857">
        <v>90</v>
      </c>
    </row>
    <row r="336" spans="1:26" s="1856" customFormat="1" ht="11.25" customHeight="1">
      <c r="D336" s="1887"/>
      <c r="E336" s="1858" t="s">
        <v>3614</v>
      </c>
      <c r="H336" s="1878">
        <f>'Part II-Development Team'!H91</f>
        <v>2295066876</v>
      </c>
      <c r="I336" s="1878"/>
      <c r="J336" s="1918">
        <f>'Part II-Development Team'!J91</f>
        <v>0</v>
      </c>
      <c r="K336" s="1879" t="s">
        <v>1894</v>
      </c>
      <c r="L336" s="1872" t="str">
        <f>'Part II-Development Team'!L91</f>
        <v>mike@greatsouthernllc.com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 xml:space="preserve">Hallmark Management, Inc. </v>
      </c>
      <c r="I338" s="1914"/>
      <c r="J338" s="1914"/>
      <c r="K338" s="1914"/>
      <c r="L338" s="1914"/>
      <c r="M338" s="1914"/>
      <c r="N338" s="1914"/>
      <c r="O338" s="1888" t="s">
        <v>1899</v>
      </c>
      <c r="P338" s="1888"/>
      <c r="Q338" s="1863" t="str">
        <f>'Part II-Development Team'!Q93</f>
        <v>Martin H. Petersen</v>
      </c>
      <c r="R338" s="1914"/>
      <c r="S338" s="1914"/>
      <c r="Z338" s="1868">
        <v>93</v>
      </c>
    </row>
    <row r="339" spans="2:26" s="1856" customFormat="1" ht="11.25" customHeight="1">
      <c r="D339" s="1887"/>
      <c r="E339" s="1858" t="s">
        <v>982</v>
      </c>
      <c r="F339" s="1860"/>
      <c r="H339" s="1863" t="str">
        <f>'Part II-Development Team'!H94</f>
        <v>3111 Paces Mill Road, Suite A-250</v>
      </c>
      <c r="I339" s="1914"/>
      <c r="J339" s="1914"/>
      <c r="K339" s="1914"/>
      <c r="L339" s="1914"/>
      <c r="M339" s="1914"/>
      <c r="N339" s="1914"/>
      <c r="O339" s="1888" t="s">
        <v>1668</v>
      </c>
      <c r="P339" s="1863"/>
      <c r="Q339" s="1863" t="str">
        <f>'Part II-Development Team'!Q94</f>
        <v>President</v>
      </c>
      <c r="R339" s="1914"/>
      <c r="S339" s="1914"/>
      <c r="Z339" s="1857">
        <v>94</v>
      </c>
    </row>
    <row r="340" spans="2:26" s="1856" customFormat="1" ht="11.25" customHeight="1">
      <c r="D340" s="1887"/>
      <c r="E340" s="1858" t="s">
        <v>588</v>
      </c>
      <c r="H340" s="1863" t="str">
        <f>'Part II-Development Team'!H95</f>
        <v>Atlanta</v>
      </c>
      <c r="I340" s="1914"/>
      <c r="J340" s="1914"/>
      <c r="K340" s="1879" t="s">
        <v>2553</v>
      </c>
      <c r="L340" s="1863" t="str">
        <f>'Part II-Development Team'!L95</f>
        <v>www.hallmarkco.com</v>
      </c>
      <c r="M340" s="1914"/>
      <c r="N340" s="1914"/>
      <c r="O340" s="1888" t="s">
        <v>1644</v>
      </c>
      <c r="P340" s="1863"/>
      <c r="Q340" s="1878">
        <f>'Part II-Development Team'!Q95</f>
        <v>7706350157</v>
      </c>
      <c r="R340" s="1878"/>
      <c r="S340" s="1878"/>
      <c r="Z340" s="1857">
        <v>95</v>
      </c>
    </row>
    <row r="341" spans="2:26" s="1856" customFormat="1" ht="11.25" customHeight="1">
      <c r="D341" s="1887"/>
      <c r="E341" s="1858" t="s">
        <v>1717</v>
      </c>
      <c r="H341" s="1888" t="str">
        <f>'Part II-Development Team'!H96</f>
        <v>GA</v>
      </c>
      <c r="I341" s="1863"/>
      <c r="J341" s="1863"/>
      <c r="K341" s="1879" t="s">
        <v>2128</v>
      </c>
      <c r="L341" s="1877">
        <f>'Part II-Development Team'!L96</f>
        <v>303395704</v>
      </c>
      <c r="M341" s="1914"/>
      <c r="N341" s="1863"/>
      <c r="O341" s="1888" t="s">
        <v>1889</v>
      </c>
      <c r="P341" s="1863"/>
      <c r="Q341" s="1878">
        <f>'Part II-Development Team'!Q96</f>
        <v>4042340004</v>
      </c>
      <c r="R341" s="1878"/>
      <c r="S341" s="1878"/>
      <c r="Z341" s="1857">
        <v>96</v>
      </c>
    </row>
    <row r="342" spans="2:26" s="1856" customFormat="1" ht="11.25" customHeight="1">
      <c r="D342" s="1887"/>
      <c r="E342" s="1858" t="s">
        <v>3614</v>
      </c>
      <c r="H342" s="1878">
        <f>'Part II-Development Team'!H97</f>
        <v>7709842100</v>
      </c>
      <c r="I342" s="1878"/>
      <c r="J342" s="1918">
        <f>'Part II-Development Team'!J97</f>
        <v>107</v>
      </c>
      <c r="K342" s="1879" t="s">
        <v>1894</v>
      </c>
      <c r="L342" s="1872" t="str">
        <f>'Part II-Development Team'!L97</f>
        <v>ppetersen@hallmarkco.com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Coleman Talley, LLP</v>
      </c>
      <c r="I344" s="1914"/>
      <c r="J344" s="1914"/>
      <c r="K344" s="1914"/>
      <c r="L344" s="1914"/>
      <c r="M344" s="1914"/>
      <c r="N344" s="1914"/>
      <c r="O344" s="1888" t="s">
        <v>1899</v>
      </c>
      <c r="P344" s="1888"/>
      <c r="Q344" s="1863" t="str">
        <f>'Part II-Development Team'!Q99</f>
        <v>Greg Clark</v>
      </c>
      <c r="R344" s="1914"/>
      <c r="S344" s="1914"/>
      <c r="Z344" s="1857">
        <v>99</v>
      </c>
    </row>
    <row r="345" spans="2:26" s="1856" customFormat="1" ht="11.25" customHeight="1">
      <c r="D345" s="1887"/>
      <c r="E345" s="1858" t="s">
        <v>982</v>
      </c>
      <c r="F345" s="1860"/>
      <c r="H345" s="1863" t="str">
        <f>'Part II-Development Team'!H100</f>
        <v>109 South Ashley Street</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Valdosta</v>
      </c>
      <c r="I346" s="1914"/>
      <c r="J346" s="1914"/>
      <c r="K346" s="1879" t="s">
        <v>2553</v>
      </c>
      <c r="L346" s="1863" t="str">
        <f>'Part II-Development Team'!L101</f>
        <v>www.colemantalley.com</v>
      </c>
      <c r="M346" s="1914"/>
      <c r="N346" s="1914"/>
      <c r="O346" s="1888" t="s">
        <v>1644</v>
      </c>
      <c r="P346" s="1863"/>
      <c r="Q346" s="1878">
        <f>'Part II-Development Team'!Q101</f>
        <v>2058221010</v>
      </c>
      <c r="R346" s="1878"/>
      <c r="S346" s="1878"/>
      <c r="Z346" s="1857">
        <v>101</v>
      </c>
    </row>
    <row r="347" spans="2:26" s="1856" customFormat="1" ht="11.25" customHeight="1">
      <c r="D347" s="1887"/>
      <c r="E347" s="1858" t="s">
        <v>1717</v>
      </c>
      <c r="H347" s="1888" t="str">
        <f>'Part II-Development Team'!H102</f>
        <v>GA</v>
      </c>
      <c r="I347" s="1863"/>
      <c r="J347" s="1863"/>
      <c r="K347" s="1879" t="s">
        <v>2128</v>
      </c>
      <c r="L347" s="1877">
        <f>'Part II-Development Team'!L102</f>
        <v>316015601</v>
      </c>
      <c r="M347" s="1914"/>
      <c r="N347" s="1863"/>
      <c r="O347" s="1888" t="s">
        <v>1889</v>
      </c>
      <c r="P347" s="1863"/>
      <c r="Q347" s="1878">
        <f>'Part II-Development Team'!Q102</f>
        <v>2298349704</v>
      </c>
      <c r="R347" s="1878"/>
      <c r="S347" s="1878"/>
      <c r="Z347" s="1868">
        <v>102</v>
      </c>
    </row>
    <row r="348" spans="2:26" s="1865" customFormat="1" ht="11.25" customHeight="1">
      <c r="E348" s="1858" t="s">
        <v>3614</v>
      </c>
      <c r="F348" s="1856"/>
      <c r="G348" s="1856"/>
      <c r="H348" s="1878">
        <f>'Part II-Development Team'!H103</f>
        <v>2298349704</v>
      </c>
      <c r="I348" s="1878"/>
      <c r="J348" s="1918">
        <f>'Part II-Development Team'!J103</f>
        <v>0</v>
      </c>
      <c r="K348" s="1879" t="s">
        <v>1894</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Tidwell Group</v>
      </c>
      <c r="I350" s="1914"/>
      <c r="J350" s="1914"/>
      <c r="K350" s="1914"/>
      <c r="L350" s="1914"/>
      <c r="M350" s="1914"/>
      <c r="N350" s="1914"/>
      <c r="O350" s="1888" t="s">
        <v>1899</v>
      </c>
      <c r="P350" s="1888"/>
      <c r="Q350" s="1863" t="str">
        <f>'Part II-Development Team'!Q105</f>
        <v>Barry Tidwell</v>
      </c>
      <c r="R350" s="1914"/>
      <c r="S350" s="1914"/>
      <c r="Z350" s="1857">
        <v>105</v>
      </c>
    </row>
    <row r="351" spans="2:26" s="1856" customFormat="1" ht="11.25" customHeight="1">
      <c r="D351" s="1887"/>
      <c r="E351" s="1858" t="s">
        <v>982</v>
      </c>
      <c r="F351" s="1860"/>
      <c r="H351" s="1863" t="str">
        <f>'Part II-Development Team'!H106</f>
        <v>2001 Park Place, Suite 900</v>
      </c>
      <c r="I351" s="1914"/>
      <c r="J351" s="1914"/>
      <c r="K351" s="1914"/>
      <c r="L351" s="1914"/>
      <c r="M351" s="1914"/>
      <c r="N351" s="1914"/>
      <c r="O351" s="1888" t="s">
        <v>1668</v>
      </c>
      <c r="P351" s="1863"/>
      <c r="Q351" s="1863" t="str">
        <f>'Part II-Development Team'!Q106</f>
        <v>Managing Partner</v>
      </c>
      <c r="R351" s="1914"/>
      <c r="S351" s="1914"/>
      <c r="Z351" s="1857">
        <v>106</v>
      </c>
    </row>
    <row r="352" spans="2:26" s="1856" customFormat="1" ht="11.25" customHeight="1">
      <c r="D352" s="1887"/>
      <c r="E352" s="1858" t="s">
        <v>588</v>
      </c>
      <c r="H352" s="1863" t="str">
        <f>'Part II-Development Team'!H107</f>
        <v>Birmingham</v>
      </c>
      <c r="I352" s="1914"/>
      <c r="J352" s="1914"/>
      <c r="K352" s="1879" t="s">
        <v>2553</v>
      </c>
      <c r="L352" s="1863" t="str">
        <f>'Part II-Development Team'!L107</f>
        <v>www.tidwellgroup.com</v>
      </c>
      <c r="M352" s="1914"/>
      <c r="N352" s="1914"/>
      <c r="O352" s="1888" t="s">
        <v>1644</v>
      </c>
      <c r="P352" s="1863"/>
      <c r="Q352" s="1878">
        <f>'Part II-Development Team'!Q107</f>
        <v>2058221010</v>
      </c>
      <c r="R352" s="1878"/>
      <c r="S352" s="1878"/>
      <c r="Z352" s="1857">
        <v>107</v>
      </c>
    </row>
    <row r="353" spans="1:26" s="1856" customFormat="1" ht="11.25" customHeight="1">
      <c r="D353" s="1887"/>
      <c r="E353" s="1858" t="s">
        <v>1717</v>
      </c>
      <c r="H353" s="1888" t="str">
        <f>'Part II-Development Team'!H108</f>
        <v>AL</v>
      </c>
      <c r="I353" s="1863"/>
      <c r="J353" s="1863"/>
      <c r="K353" s="1879" t="s">
        <v>2128</v>
      </c>
      <c r="L353" s="1877">
        <f>'Part II-Development Team'!L108</f>
        <v>352034803</v>
      </c>
      <c r="M353" s="1914"/>
      <c r="N353" s="1863"/>
      <c r="O353" s="1888" t="s">
        <v>1889</v>
      </c>
      <c r="P353" s="1863"/>
      <c r="Q353" s="1878">
        <f>'Part II-Development Team'!Q108</f>
        <v>2057900277</v>
      </c>
      <c r="R353" s="1878"/>
      <c r="S353" s="1878"/>
      <c r="Z353" s="1857">
        <v>108</v>
      </c>
    </row>
    <row r="354" spans="1:26" s="1865" customFormat="1" ht="11.25" customHeight="1">
      <c r="E354" s="1858" t="s">
        <v>3614</v>
      </c>
      <c r="F354" s="1856"/>
      <c r="G354" s="1856"/>
      <c r="H354" s="1878">
        <f>'Part II-Development Team'!H109</f>
        <v>2058221010</v>
      </c>
      <c r="I354" s="1878"/>
      <c r="J354" s="1918">
        <f>'Part II-Development Team'!J109</f>
        <v>0</v>
      </c>
      <c r="K354" s="1879" t="s">
        <v>1894</v>
      </c>
      <c r="L354" s="1872" t="str">
        <f>'Part II-Development Team'!L109</f>
        <v>barry.tidwell@tidwellgroup.com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Studio 8 Design</v>
      </c>
      <c r="I356" s="1914"/>
      <c r="J356" s="1914"/>
      <c r="K356" s="1914"/>
      <c r="L356" s="1914"/>
      <c r="M356" s="1914"/>
      <c r="N356" s="1914"/>
      <c r="O356" s="1888" t="s">
        <v>1899</v>
      </c>
      <c r="P356" s="1888"/>
      <c r="Q356" s="1863" t="str">
        <f>'Part II-Development Team'!Q111</f>
        <v>James Ingram</v>
      </c>
      <c r="R356" s="1914"/>
      <c r="S356" s="1914"/>
      <c r="Z356" s="1868">
        <v>111</v>
      </c>
    </row>
    <row r="357" spans="1:26" s="1856" customFormat="1" ht="11.25" customHeight="1">
      <c r="D357" s="1887"/>
      <c r="E357" s="1858" t="s">
        <v>982</v>
      </c>
      <c r="F357" s="1860"/>
      <c r="H357" s="1863" t="str">
        <f>'Part II-Development Team'!H112</f>
        <v xml:space="preserve">2722 North Oak Street </v>
      </c>
      <c r="I357" s="1914"/>
      <c r="J357" s="1914"/>
      <c r="K357" s="1914"/>
      <c r="L357" s="1914"/>
      <c r="M357" s="1914"/>
      <c r="N357" s="1914"/>
      <c r="O357" s="1888" t="s">
        <v>1668</v>
      </c>
      <c r="P357" s="1863"/>
      <c r="Q357" s="1863" t="str">
        <f>'Part II-Development Team'!Q112</f>
        <v>Managing Partner</v>
      </c>
      <c r="R357" s="1914"/>
      <c r="S357" s="1914"/>
      <c r="Z357" s="1857">
        <v>112</v>
      </c>
    </row>
    <row r="358" spans="1:26" s="1856" customFormat="1" ht="11.25" customHeight="1">
      <c r="D358" s="1887"/>
      <c r="E358" s="1858" t="s">
        <v>588</v>
      </c>
      <c r="H358" s="1863" t="str">
        <f>'Part II-Development Team'!H113</f>
        <v>Valdosta</v>
      </c>
      <c r="I358" s="1914"/>
      <c r="J358" s="1914"/>
      <c r="K358" s="1879" t="s">
        <v>2553</v>
      </c>
      <c r="L358" s="1863" t="str">
        <f>'Part II-Development Team'!L113</f>
        <v>www.s8architects.com</v>
      </c>
      <c r="M358" s="1914"/>
      <c r="N358" s="1914"/>
      <c r="O358" s="1888" t="s">
        <v>1644</v>
      </c>
      <c r="P358" s="1863"/>
      <c r="Q358" s="1878">
        <f>'Part II-Development Team'!Q113</f>
        <v>2292441188</v>
      </c>
      <c r="R358" s="1878"/>
      <c r="S358" s="1878"/>
      <c r="Z358" s="1857">
        <v>113</v>
      </c>
    </row>
    <row r="359" spans="1:26" s="1856" customFormat="1" ht="11.25" customHeight="1">
      <c r="D359" s="1887"/>
      <c r="E359" s="1858" t="s">
        <v>1717</v>
      </c>
      <c r="H359" s="1888" t="str">
        <f>'Part II-Development Team'!H114</f>
        <v>GA</v>
      </c>
      <c r="I359" s="1863"/>
      <c r="J359" s="1863"/>
      <c r="K359" s="1879" t="s">
        <v>2128</v>
      </c>
      <c r="L359" s="1877">
        <f>'Part II-Development Team'!L114</f>
        <v>316021770</v>
      </c>
      <c r="M359" s="1914"/>
      <c r="N359" s="1863"/>
      <c r="O359" s="1888" t="s">
        <v>1889</v>
      </c>
      <c r="P359" s="1863"/>
      <c r="Q359" s="1878">
        <f>'Part II-Development Team'!Q114</f>
        <v>2292441188</v>
      </c>
      <c r="R359" s="1878"/>
      <c r="S359" s="1878"/>
      <c r="Z359" s="1857">
        <v>114</v>
      </c>
    </row>
    <row r="360" spans="1:26" s="1856" customFormat="1" ht="11.25" customHeight="1">
      <c r="D360" s="1887"/>
      <c r="E360" s="1858" t="s">
        <v>3614</v>
      </c>
      <c r="H360" s="1878">
        <f>'Part II-Development Team'!H115</f>
        <v>2292441188</v>
      </c>
      <c r="I360" s="1878"/>
      <c r="J360" s="1918">
        <f>'Part II-Development Team'!J115</f>
        <v>0</v>
      </c>
      <c r="K360" s="1879" t="s">
        <v>1894</v>
      </c>
      <c r="L360" s="1872" t="str">
        <f>'Part II-Development Team'!L115</f>
        <v>jingam@s8architects.com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7014</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7081</v>
      </c>
      <c r="H365" s="1863" t="str">
        <f>'Part II-Development Team'!H120</f>
        <v>Colony Camp Creek, LLC</v>
      </c>
      <c r="I365" s="1863"/>
      <c r="J365" s="1863"/>
      <c r="K365" s="1879" t="s">
        <v>1716</v>
      </c>
      <c r="L365" s="1863" t="str">
        <f>'Part II-Development Team'!L120</f>
        <v>Scott Henderson</v>
      </c>
      <c r="M365" s="1914"/>
      <c r="N365" s="1914"/>
      <c r="O365" s="1888" t="s">
        <v>3262</v>
      </c>
      <c r="P365" s="1863"/>
      <c r="Q365" s="1878">
        <f>'Part II-Development Team'!Q120</f>
        <v>4045977559</v>
      </c>
      <c r="R365" s="1964"/>
      <c r="S365" s="1964"/>
      <c r="Z365" s="1857">
        <v>120</v>
      </c>
    </row>
    <row r="366" spans="1:26" s="1856" customFormat="1" ht="11.25" customHeight="1">
      <c r="D366" s="1887"/>
      <c r="E366" s="1858" t="s">
        <v>6486</v>
      </c>
      <c r="F366" s="1860"/>
      <c r="H366" s="1863" t="str">
        <f>'Part II-Development Team'!H121</f>
        <v>2300 Bethelview Road, Suite 110-329</v>
      </c>
      <c r="I366" s="1914"/>
      <c r="J366" s="1914"/>
      <c r="K366" s="1914"/>
      <c r="L366" s="1914"/>
      <c r="M366" s="1914"/>
      <c r="N366" s="1914"/>
      <c r="O366" s="1888" t="s">
        <v>588</v>
      </c>
      <c r="P366" s="1863"/>
      <c r="Q366" s="1863" t="str">
        <f>'Part II-Development Team'!Q121</f>
        <v>Cumming</v>
      </c>
      <c r="R366" s="1914"/>
      <c r="S366" s="1914"/>
      <c r="Z366" s="1857">
        <v>121</v>
      </c>
    </row>
    <row r="367" spans="1:26" s="1856" customFormat="1">
      <c r="D367" s="1887"/>
      <c r="E367" s="1858" t="s">
        <v>1717</v>
      </c>
      <c r="H367" s="1888" t="str">
        <f>'Part II-Development Team'!H122</f>
        <v>GA</v>
      </c>
      <c r="I367" s="1879" t="s">
        <v>2128</v>
      </c>
      <c r="J367" s="1877">
        <f>'Part II-Development Team'!J122</f>
        <v>300409475</v>
      </c>
      <c r="K367" s="1914"/>
      <c r="L367" s="1879" t="s">
        <v>1894</v>
      </c>
      <c r="M367" s="1872" t="str">
        <f>'Part II-Development Team'!M122</f>
        <v>scott@onestonellc.com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7082</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6486</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7015</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6486</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7083</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6486</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7016</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6486</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7084</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6486</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7017</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6486</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7018</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6486</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2128</v>
      </c>
      <c r="J395" s="1877">
        <f>'Part II-Development Team'!J150</f>
        <v>0</v>
      </c>
      <c r="K395" s="1914"/>
      <c r="L395" s="1879" t="s">
        <v>1894</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6841</v>
      </c>
      <c r="H397" s="1854"/>
      <c r="I397" s="1854"/>
      <c r="J397" s="1854"/>
      <c r="K397" s="1854"/>
      <c r="L397" s="1854"/>
      <c r="M397" s="1854"/>
      <c r="N397" s="1854"/>
      <c r="O397" s="1854"/>
      <c r="P397" s="1854"/>
      <c r="Q397" s="1854"/>
      <c r="R397" s="1854"/>
      <c r="S397" s="1854"/>
      <c r="Z397" s="1857">
        <v>152</v>
      </c>
    </row>
    <row r="398" spans="1:26" s="1865" customFormat="1" ht="13.5" customHeight="1">
      <c r="A398" s="1856" t="s">
        <v>3436</v>
      </c>
      <c r="B398" s="1856"/>
      <c r="C398" s="1856"/>
      <c r="D398" s="1856"/>
      <c r="E398" s="1856"/>
      <c r="H398" s="1879" t="s">
        <v>2392</v>
      </c>
      <c r="I398" s="1863" t="s">
        <v>6793</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6484</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4073</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4072</v>
      </c>
      <c r="C407" s="1854" t="str">
        <f>+'Part II-Development Team'!C162</f>
        <v>Owner and Management Company and Developer</v>
      </c>
      <c r="D407" s="1854"/>
      <c r="E407" s="1854"/>
      <c r="F407" s="1854"/>
      <c r="G407" s="1854"/>
      <c r="H407" s="1966" t="str">
        <f>'Part II-Development Team'!H162</f>
        <v>Yes</v>
      </c>
      <c r="I407" s="1951" t="str">
        <f>'Part II-Development Team'!I162</f>
        <v xml:space="preserve">Martin H. Petersen is the Manager of the General Partner of Hallmark Wagon Works,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Partners, a member of the General Partner.  </v>
      </c>
      <c r="J407" s="1951"/>
      <c r="K407" s="1951"/>
      <c r="L407" s="1951"/>
      <c r="M407" s="1951"/>
      <c r="N407" s="1951"/>
      <c r="O407" s="1951"/>
      <c r="P407" s="1951"/>
      <c r="Q407" s="1951"/>
      <c r="R407" s="1951"/>
      <c r="S407" s="1951"/>
      <c r="Z407" s="1857">
        <v>162</v>
      </c>
    </row>
    <row r="408" spans="1:26" s="1856" customFormat="1" ht="13.35" customHeight="1">
      <c r="A408" s="1856" t="s">
        <v>1711</v>
      </c>
      <c r="B408" s="1856" t="s">
        <v>7085</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6842</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7019</v>
      </c>
      <c r="L411" s="1907" t="s">
        <v>7020</v>
      </c>
      <c r="M411" s="1905" t="s">
        <v>7021</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7086</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t="str">
        <f>'Part II-Development Team'!E171</f>
        <v>Hallmark Wagon Works GP, LLC</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Yes</v>
      </c>
      <c r="N416" s="1951" t="str">
        <f>'Part II-Development Team'!N171</f>
        <v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t="str">
        <f>'Part II-Development Team'!E174</f>
        <v>Boston Financial Investment Management, LP</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t="str">
        <f>'Part II-Development Team'!N174</f>
        <v>N/A</v>
      </c>
      <c r="O419" s="1951"/>
      <c r="P419" s="1951"/>
      <c r="Q419" s="1951"/>
      <c r="R419" s="1951"/>
      <c r="S419" s="1951"/>
      <c r="U419" s="1855"/>
      <c r="V419" s="1855"/>
      <c r="Z419" s="1857">
        <v>174</v>
      </c>
    </row>
    <row r="420" spans="1:26" s="1856" customFormat="1" ht="23.25" customHeight="1">
      <c r="A420" s="1905" t="s">
        <v>3183</v>
      </c>
      <c r="B420" s="1905"/>
      <c r="C420" s="1905"/>
      <c r="D420" s="1905"/>
      <c r="E420" s="1951" t="str">
        <f>'Part II-Development Team'!E175</f>
        <v>Boston Financial Investment Management, LP</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t="str">
        <f>'Part II-Development Team'!N175</f>
        <v>N/A</v>
      </c>
      <c r="O420" s="1951"/>
      <c r="P420" s="1951"/>
      <c r="Q420" s="1951"/>
      <c r="R420" s="1951"/>
      <c r="S420" s="1951"/>
      <c r="U420" s="1855"/>
      <c r="V420" s="1855"/>
      <c r="Z420" s="1857">
        <v>175</v>
      </c>
    </row>
    <row r="421" spans="1:26" s="1856" customFormat="1" ht="23.25" customHeight="1">
      <c r="A421" s="1905" t="s">
        <v>2684</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t="str">
        <f>'Part II-Development Team'!E177</f>
        <v>Hallmark Development Partners, LLC</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Yes</v>
      </c>
      <c r="N422" s="1951" t="str">
        <f>'Part II-Development Team'!N177</f>
        <v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v>
      </c>
      <c r="O422" s="1951"/>
      <c r="P422" s="1951"/>
      <c r="Q422" s="1951"/>
      <c r="R422" s="1951"/>
      <c r="S422" s="1951"/>
      <c r="U422" s="1855"/>
      <c r="V422" s="1855"/>
      <c r="Z422" s="1857">
        <v>177</v>
      </c>
    </row>
    <row r="423" spans="1:26" s="1856" customFormat="1" ht="23.25" customHeight="1">
      <c r="A423" s="1905" t="s">
        <v>2685</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2686</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t="str">
        <f>'Part II-Development Team'!E182</f>
        <v>Great Southern, LLC</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t="str">
        <f>'Part II-Development Team'!N182</f>
        <v>N/A</v>
      </c>
      <c r="O427" s="1951"/>
      <c r="P427" s="1951"/>
      <c r="Q427" s="1951"/>
      <c r="R427" s="1951"/>
      <c r="S427" s="1951"/>
      <c r="Z427" s="1857">
        <v>182</v>
      </c>
    </row>
    <row r="428" spans="1:26" s="1856" customFormat="1" ht="23.25" customHeight="1">
      <c r="A428" s="1905" t="s">
        <v>2689</v>
      </c>
      <c r="B428" s="1905"/>
      <c r="C428" s="1905"/>
      <c r="D428" s="1905"/>
      <c r="E428" s="1951" t="str">
        <f>'Part II-Development Team'!E183</f>
        <v>Hallmark Management, Inc.</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t="str">
        <f>'Part II-Development Team'!N183</f>
        <v xml:space="preserve">Martin H. Petersen is the Manager of the Managing General Partner for the Owner/Applicant and the Manager of the Developer.  He is the President of Hallmark Management, Inc., the property manager.  </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 xml:space="preserve">There has been no change to the development team for the proposed project since pre-application.  All of the proposed development team members are experienced in ownership, development, and management of LIHTC multifamily housing.  Members of the development team also have relevant experience in the development of  adaptive reuse historic projects. </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2021-006 Wagon Works, East Point, Fulton County</v>
      </c>
      <c r="B436" s="1856"/>
      <c r="C436" s="1856"/>
      <c r="D436" s="1856"/>
      <c r="E436" s="1856"/>
      <c r="F436" s="1856"/>
      <c r="G436" s="1856"/>
      <c r="H436" s="1856"/>
      <c r="I436" s="1856"/>
      <c r="J436" s="1856"/>
      <c r="K436" s="1856"/>
      <c r="L436" s="1856"/>
      <c r="M436" s="1856"/>
      <c r="N436" s="1856"/>
      <c r="O436" s="1856"/>
      <c r="P436" s="1856"/>
      <c r="Q436" s="1856"/>
      <c r="S436" s="1875" t="str">
        <f>$A$2</f>
        <v>Wagon Works</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t="str">
        <f>'Part III-Sources of Funds'!E6</f>
        <v>No</v>
      </c>
      <c r="F440" s="1859" t="s">
        <v>6289</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Yes</v>
      </c>
      <c r="C441" s="1859" t="s">
        <v>4058</v>
      </c>
      <c r="D441" s="1856"/>
      <c r="E441" s="1879" t="str">
        <f>'Part III-Sources of Funds'!E7</f>
        <v>No</v>
      </c>
      <c r="F441" s="1859" t="s">
        <v>6290</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6291</v>
      </c>
      <c r="H442" s="1869" t="str">
        <f>'Part III-Sources of Funds'!H8</f>
        <v>Specify Other HOME Source here</v>
      </c>
      <c r="I442" s="1869"/>
      <c r="J442" s="1869"/>
      <c r="L442" s="1879" t="str">
        <f>'Part III-Sources of Funds'!L8</f>
        <v>No</v>
      </c>
      <c r="M442" s="1859" t="s">
        <v>3276</v>
      </c>
      <c r="P442" s="1890"/>
      <c r="Q442" s="1890"/>
      <c r="S442" s="1956"/>
      <c r="T442" s="1956"/>
      <c r="Y442" s="1972"/>
      <c r="Z442" s="1857">
        <v>8</v>
      </c>
      <c r="AZ442" s="1972"/>
    </row>
    <row r="443" spans="1:52" s="1875" customFormat="1" ht="16.5" customHeight="1">
      <c r="A443" s="1857"/>
      <c r="B443" s="1879" t="str">
        <f>'Part III-Sources of Funds'!B9</f>
        <v>No</v>
      </c>
      <c r="C443" s="1875" t="s">
        <v>3440</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4059</v>
      </c>
      <c r="Q443" s="1890"/>
      <c r="S443" s="1956"/>
      <c r="T443" s="1956"/>
      <c r="Y443" s="1972"/>
      <c r="Z443" s="1857">
        <v>9</v>
      </c>
      <c r="AZ443" s="1972"/>
    </row>
    <row r="444" spans="1:52" s="1875" customFormat="1" ht="16.5" customHeight="1">
      <c r="A444" s="1857"/>
      <c r="B444" s="1879" t="str">
        <f>'Part III-Sources of Funds'!B10</f>
        <v>No</v>
      </c>
      <c r="C444" s="1859" t="s">
        <v>2481</v>
      </c>
      <c r="F444" s="1869" t="str">
        <f>'Part III-Sources of Funds'!F10</f>
        <v>Specify Source/Administrator of Other FEDERAL Funding here</v>
      </c>
      <c r="G444" s="1869"/>
      <c r="H444" s="1869"/>
      <c r="I444" s="1869"/>
      <c r="J444" s="1869"/>
      <c r="L444" s="1879" t="str">
        <f>'Part III-Sources of Funds'!L10</f>
        <v>No</v>
      </c>
      <c r="M444" s="1859" t="s">
        <v>3319</v>
      </c>
      <c r="P444" s="1890"/>
      <c r="Q444" s="1890"/>
      <c r="S444" s="1956"/>
      <c r="T444" s="1956"/>
      <c r="Y444" s="1972"/>
      <c r="Z444" s="1868">
        <v>10</v>
      </c>
      <c r="AZ444" s="1972"/>
    </row>
    <row r="445" spans="1:52" s="1875" customFormat="1" ht="16.5" customHeight="1">
      <c r="A445" s="1857"/>
      <c r="B445" s="1879" t="str">
        <f>'Part III-Sources of Funds'!B11</f>
        <v>No</v>
      </c>
      <c r="C445" s="1859" t="s">
        <v>2482</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2486</v>
      </c>
      <c r="S445" s="1956"/>
      <c r="T445" s="1956"/>
      <c r="Y445" s="1972"/>
      <c r="Z445" s="1857">
        <v>11</v>
      </c>
      <c r="AZ445" s="1972"/>
    </row>
    <row r="446" spans="1:52" s="1875" customFormat="1" ht="16.5" customHeight="1">
      <c r="A446" s="1857"/>
      <c r="B446" s="1879" t="str">
        <f>'Part III-Sources of Funds'!B12</f>
        <v>No</v>
      </c>
      <c r="C446" s="1859" t="s">
        <v>3322</v>
      </c>
      <c r="F446" s="1869" t="str">
        <f>'Part III-Sources of Funds'!F12</f>
        <v>Specify Source/Administrator of Other STATE/LOCAL Funding here</v>
      </c>
      <c r="G446" s="1869"/>
      <c r="H446" s="1869"/>
      <c r="I446" s="1869"/>
      <c r="J446" s="1869"/>
      <c r="L446" s="1879" t="str">
        <f>'Part III-Sources of Funds'!L12</f>
        <v>No</v>
      </c>
      <c r="M446" s="1875" t="s">
        <v>3352</v>
      </c>
      <c r="S446" s="1956"/>
      <c r="T446" s="1956"/>
      <c r="Y446" s="1972"/>
      <c r="Z446" s="1857">
        <v>12</v>
      </c>
      <c r="AZ446" s="1972"/>
    </row>
    <row r="447" spans="1:52" s="1875" customFormat="1" ht="16.5" customHeight="1">
      <c r="A447" s="1857"/>
      <c r="B447" s="1879" t="str">
        <f>'Part III-Sources of Funds'!B13</f>
        <v>No</v>
      </c>
      <c r="C447" s="1859" t="s">
        <v>2485</v>
      </c>
      <c r="E447" s="1879" t="str">
        <f>'Part III-Sources of Funds'!E13</f>
        <v>No</v>
      </c>
      <c r="F447" s="1859" t="s">
        <v>3351</v>
      </c>
      <c r="H447" s="1869" t="str">
        <f>'Part III-Sources of Funds'!H13</f>
        <v>Specify Other PBRA Source here</v>
      </c>
      <c r="I447" s="1869"/>
      <c r="J447" s="1869"/>
      <c r="L447" s="1879" t="str">
        <f>'Part III-Sources of Funds'!L13</f>
        <v>No</v>
      </c>
      <c r="M447" s="1875" t="s">
        <v>6288</v>
      </c>
      <c r="S447" s="1956"/>
      <c r="T447" s="1956"/>
      <c r="Y447" s="1972"/>
      <c r="Z447" s="1857">
        <v>13</v>
      </c>
      <c r="AZ447" s="1972"/>
    </row>
    <row r="448" spans="1:52" s="1875" customFormat="1" ht="16.5" customHeight="1">
      <c r="A448" s="1857"/>
      <c r="B448" s="1879" t="str">
        <f>'Part III-Sources of Funds'!B14</f>
        <v>No</v>
      </c>
      <c r="C448" s="1875" t="s">
        <v>2484</v>
      </c>
      <c r="E448" s="1879" t="str">
        <f>'Part III-Sources of Funds'!E14</f>
        <v>No</v>
      </c>
      <c r="F448" s="1859" t="s">
        <v>3439</v>
      </c>
      <c r="L448" s="1879" t="str">
        <f>'Part III-Sources of Funds'!L14</f>
        <v>No</v>
      </c>
      <c r="M448" s="1875" t="s">
        <v>6535</v>
      </c>
      <c r="S448" s="1956"/>
      <c r="T448" s="1956"/>
      <c r="Y448" s="1972"/>
      <c r="Z448" s="1857">
        <v>14</v>
      </c>
      <c r="AZ448" s="1972"/>
    </row>
    <row r="449" spans="1:52" s="1875" customFormat="1" ht="16.5" customHeight="1">
      <c r="A449" s="1857"/>
      <c r="B449" s="1879" t="str">
        <f>'Part III-Sources of Funds'!B15</f>
        <v>No</v>
      </c>
      <c r="C449" s="1875" t="s">
        <v>3350</v>
      </c>
      <c r="E449" s="1879" t="str">
        <f>'Part III-Sources of Funds'!E15</f>
        <v>No</v>
      </c>
      <c r="F449" s="1859" t="s">
        <v>6292</v>
      </c>
      <c r="L449" s="1879" t="str">
        <f>'Part III-Sources of Funds'!L15</f>
        <v>No</v>
      </c>
      <c r="M449" s="1890" t="s">
        <v>6293</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6834</v>
      </c>
      <c r="I450" s="1975">
        <f>'Part III-Sources of Funds'!I16</f>
        <v>0</v>
      </c>
      <c r="J450" s="1976"/>
      <c r="L450" s="1879" t="str">
        <f>'Part III-Sources of Funds'!L16</f>
        <v>No</v>
      </c>
      <c r="M450" s="1890" t="s">
        <v>6287</v>
      </c>
      <c r="Y450" s="1972"/>
      <c r="Z450" s="1857">
        <v>16</v>
      </c>
      <c r="AZ450" s="1972"/>
    </row>
    <row r="451" spans="1:52" s="1875" customFormat="1" ht="17.100000000000001" customHeight="1">
      <c r="A451" s="1857"/>
      <c r="B451" s="1875" t="s">
        <v>4060</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4023</v>
      </c>
      <c r="M455" s="1856"/>
      <c r="N455" s="1856" t="s">
        <v>1446</v>
      </c>
      <c r="O455" s="1856"/>
      <c r="P455" s="1856" t="s">
        <v>1564</v>
      </c>
      <c r="Q455" s="1856"/>
      <c r="S455" s="1852" t="s">
        <v>2537</v>
      </c>
      <c r="T455" s="1852"/>
      <c r="Y455" s="1972"/>
      <c r="Z455" s="1857">
        <v>21</v>
      </c>
      <c r="AZ455" s="1972" t="s">
        <v>6652</v>
      </c>
    </row>
    <row r="456" spans="1:52" s="1875" customFormat="1" ht="15.75" customHeight="1">
      <c r="A456" s="1856"/>
      <c r="B456" s="1856" t="s">
        <v>1525</v>
      </c>
      <c r="C456" s="1856"/>
      <c r="D456" s="1856"/>
      <c r="E456" s="1856"/>
      <c r="F456" s="1856"/>
      <c r="G456" s="1856"/>
      <c r="H456" s="1863" t="str">
        <f>'Part III-Sources of Funds'!H22</f>
        <v>Cadence Bank</v>
      </c>
      <c r="I456" s="1863"/>
      <c r="J456" s="1863"/>
      <c r="K456" s="1863"/>
      <c r="L456" s="1871">
        <f>'Part III-Sources of Funds'!L22</f>
        <v>12500000</v>
      </c>
      <c r="M456" s="1871"/>
      <c r="N456" s="1977">
        <f>'Part III-Sources of Funds'!N22</f>
        <v>4.4999999999999998E-2</v>
      </c>
      <c r="O456" s="1977"/>
      <c r="P456" s="1978">
        <f>'Part III-Sources of Funds'!P22</f>
        <v>24</v>
      </c>
      <c r="Q456" s="1978"/>
      <c r="S456" s="1956"/>
      <c r="T456" s="1956"/>
      <c r="Y456" s="1972" t="s">
        <v>6652</v>
      </c>
      <c r="Z456" s="1857">
        <v>22</v>
      </c>
      <c r="AZ456" s="1972" t="s">
        <v>6653</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6653</v>
      </c>
      <c r="Z457" s="1857">
        <v>23</v>
      </c>
      <c r="AZ457" s="1972" t="s">
        <v>6654</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6654</v>
      </c>
      <c r="Z458" s="1857">
        <v>24</v>
      </c>
      <c r="AZ458" s="1972" t="s">
        <v>6655</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6655</v>
      </c>
      <c r="Z459" s="1857">
        <v>25</v>
      </c>
      <c r="AZ459" s="1972" t="s">
        <v>6656</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6656</v>
      </c>
      <c r="Z460" s="1868">
        <v>26</v>
      </c>
      <c r="AZ460" s="1972" t="s">
        <v>6657</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6657</v>
      </c>
      <c r="Z461" s="1857">
        <v>27</v>
      </c>
      <c r="AZ461" s="1972" t="s">
        <v>6658</v>
      </c>
    </row>
    <row r="462" spans="1:52" s="1875" customFormat="1" ht="15.75" customHeight="1">
      <c r="A462" s="1856"/>
      <c r="B462" s="1856" t="s">
        <v>769</v>
      </c>
      <c r="C462" s="1856"/>
      <c r="D462" s="1856"/>
      <c r="E462" s="1856"/>
      <c r="H462" s="1863" t="str">
        <f>'Part III-Sources of Funds'!H28</f>
        <v>Boston Financial Investment Management, Inc.</v>
      </c>
      <c r="I462" s="1863"/>
      <c r="J462" s="1863"/>
      <c r="K462" s="1863"/>
      <c r="L462" s="1871">
        <f>'Part III-Sources of Funds'!L28</f>
        <v>5345460</v>
      </c>
      <c r="M462" s="1871"/>
      <c r="N462" s="1856"/>
      <c r="Q462" s="1856"/>
      <c r="S462" s="1956"/>
      <c r="T462" s="1956"/>
      <c r="Y462" s="1972" t="s">
        <v>6658</v>
      </c>
      <c r="Z462" s="1857">
        <v>28</v>
      </c>
      <c r="AZ462" s="1972" t="s">
        <v>6659</v>
      </c>
    </row>
    <row r="463" spans="1:52" s="1875" customFormat="1" ht="15.75" customHeight="1">
      <c r="A463" s="1856"/>
      <c r="B463" s="1856" t="s">
        <v>770</v>
      </c>
      <c r="C463" s="1856"/>
      <c r="D463" s="1856"/>
      <c r="E463" s="1856"/>
      <c r="H463" s="1863" t="str">
        <f>'Part III-Sources of Funds'!H29</f>
        <v>Boston Financial Investment Management, Inc.</v>
      </c>
      <c r="I463" s="1863"/>
      <c r="J463" s="1863"/>
      <c r="K463" s="1863"/>
      <c r="L463" s="1871">
        <f>'Part III-Sources of Funds'!L29</f>
        <v>3654000</v>
      </c>
      <c r="M463" s="1871"/>
      <c r="N463" s="1856"/>
      <c r="Q463" s="1856"/>
      <c r="S463" s="1956"/>
      <c r="T463" s="1956"/>
      <c r="Y463" s="1972" t="s">
        <v>6659</v>
      </c>
      <c r="Z463" s="1857">
        <v>29</v>
      </c>
      <c r="AZ463" s="1972" t="s">
        <v>6660</v>
      </c>
    </row>
    <row r="464" spans="1:52" s="1875" customFormat="1" ht="15.75" customHeight="1">
      <c r="A464" s="1856"/>
      <c r="B464" s="1856" t="s">
        <v>231</v>
      </c>
      <c r="C464" s="1856"/>
      <c r="D464" s="1863" t="str">
        <f>'Part III-Sources of Funds'!D30</f>
        <v>Historic Credit Equity</v>
      </c>
      <c r="E464" s="1863"/>
      <c r="F464" s="1863"/>
      <c r="G464" s="1863"/>
      <c r="H464" s="1863" t="str">
        <f>'Part III-Sources of Funds'!H30</f>
        <v>Boston Financial Investment Management, Inc.</v>
      </c>
      <c r="I464" s="1863"/>
      <c r="J464" s="1863"/>
      <c r="K464" s="1863"/>
      <c r="L464" s="1871">
        <f>'Part III-Sources of Funds'!L30</f>
        <v>1130191</v>
      </c>
      <c r="M464" s="1871"/>
      <c r="N464" s="1856"/>
      <c r="Q464" s="1856"/>
      <c r="S464" s="1956"/>
      <c r="T464" s="1956"/>
      <c r="Y464" s="1972" t="s">
        <v>6660</v>
      </c>
      <c r="Z464" s="1857">
        <v>30</v>
      </c>
      <c r="AZ464" s="1972" t="s">
        <v>6661</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6661</v>
      </c>
      <c r="Z465" s="1857">
        <v>31</v>
      </c>
      <c r="AZ465" s="1972" t="s">
        <v>6662</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6662</v>
      </c>
      <c r="Z466" s="1857">
        <v>32</v>
      </c>
      <c r="AZ466" s="1972"/>
    </row>
    <row r="467" spans="1:52" s="1875" customFormat="1" ht="16.5" customHeight="1">
      <c r="A467" s="1856"/>
      <c r="B467" s="1858" t="s">
        <v>1250</v>
      </c>
      <c r="C467" s="1856"/>
      <c r="D467" s="1856"/>
      <c r="E467" s="1856"/>
      <c r="F467" s="1856"/>
      <c r="G467" s="1856"/>
      <c r="H467" s="1856"/>
      <c r="I467" s="1856"/>
      <c r="L467" s="1980">
        <f>SUM(L456:L466)</f>
        <v>22629651</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20803486</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1826165</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4022</v>
      </c>
      <c r="J473" s="1856"/>
      <c r="K473" s="1857" t="s">
        <v>1722</v>
      </c>
      <c r="L473" s="1857" t="s">
        <v>2113</v>
      </c>
      <c r="M473" s="1857" t="s">
        <v>2113</v>
      </c>
      <c r="N473" s="1856" t="s">
        <v>69</v>
      </c>
      <c r="O473" s="1856"/>
      <c r="P473" s="1874"/>
      <c r="Q473" s="1874"/>
      <c r="S473" s="1852" t="s">
        <v>2537</v>
      </c>
      <c r="T473" s="1852"/>
      <c r="Y473" s="1972"/>
      <c r="Z473" s="1857">
        <v>39</v>
      </c>
      <c r="AZ473" s="1972" t="s">
        <v>6663</v>
      </c>
    </row>
    <row r="474" spans="1:52" s="1875" customFormat="1" ht="15.75" customHeight="1">
      <c r="A474" s="1856"/>
      <c r="B474" s="1856" t="s">
        <v>2490</v>
      </c>
      <c r="C474" s="1856"/>
      <c r="D474" s="1856"/>
      <c r="E474" s="1863" t="str">
        <f>'Part III-Sources of Funds'!E40</f>
        <v>Cadence Bank</v>
      </c>
      <c r="F474" s="1863"/>
      <c r="G474" s="1863"/>
      <c r="H474" s="1863"/>
      <c r="I474" s="1894">
        <f>'Part III-Sources of Funds'!I40</f>
        <v>6000000</v>
      </c>
      <c r="J474" s="1863"/>
      <c r="K474" s="1983">
        <f>'Part III-Sources of Funds'!K40</f>
        <v>4.2500000000000003E-2</v>
      </c>
      <c r="L474" s="1879">
        <f>'Part III-Sources of Funds'!L40</f>
        <v>17</v>
      </c>
      <c r="M474" s="1879">
        <f>'Part III-Sources of Funds'!M40</f>
        <v>35</v>
      </c>
      <c r="N474" s="1863" t="str">
        <f>'Part III-Sources of Funds'!N40</f>
        <v>Amortizing</v>
      </c>
      <c r="O474" s="1863"/>
      <c r="P474" s="1981">
        <f>'Part III-Sources of Funds'!P40</f>
        <v>329683.67677046813</v>
      </c>
      <c r="Q474" s="1981"/>
      <c r="S474" s="1956"/>
      <c r="T474" s="1956"/>
      <c r="Y474" s="1972" t="s">
        <v>6663</v>
      </c>
      <c r="Z474" s="1857">
        <v>40</v>
      </c>
      <c r="AZ474" s="1972" t="s">
        <v>6664</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6664</v>
      </c>
      <c r="Z475" s="1857">
        <v>41</v>
      </c>
      <c r="AZ475" s="1972" t="s">
        <v>6665</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6665</v>
      </c>
      <c r="Z476" s="1857">
        <v>42</v>
      </c>
      <c r="AZ476" s="1972" t="s">
        <v>6666</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6666</v>
      </c>
      <c r="Z477" s="1857">
        <v>43</v>
      </c>
      <c r="AZ477" s="1972" t="s">
        <v>6667</v>
      </c>
    </row>
    <row r="478" spans="1:52" s="1875" customFormat="1" ht="15.75" customHeight="1">
      <c r="A478" s="1856"/>
      <c r="B478" s="1856" t="s">
        <v>4144</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6667</v>
      </c>
      <c r="Z478" s="1868">
        <v>44</v>
      </c>
      <c r="AZ478" s="1972" t="s">
        <v>6668</v>
      </c>
    </row>
    <row r="479" spans="1:52" s="1875" customFormat="1" ht="15.75" customHeight="1">
      <c r="A479" s="1856"/>
      <c r="B479" s="1856" t="s">
        <v>219</v>
      </c>
      <c r="C479" s="1856"/>
      <c r="D479" s="1985">
        <f>'Part III-Sources of Funds'!D45</f>
        <v>0.24019638242894056</v>
      </c>
      <c r="E479" s="1863" t="str">
        <f>'Part III-Sources of Funds'!E45</f>
        <v>Hallmark Development Partners, LLC</v>
      </c>
      <c r="F479" s="1863"/>
      <c r="G479" s="1863"/>
      <c r="H479" s="1863"/>
      <c r="I479" s="1894">
        <f>'Part III-Sources of Funds'!I45</f>
        <v>464780</v>
      </c>
      <c r="J479" s="1863"/>
      <c r="K479" s="1983">
        <f>'Part III-Sources of Funds'!K45</f>
        <v>0</v>
      </c>
      <c r="L479" s="1879">
        <f>'Part III-Sources of Funds'!L45</f>
        <v>7</v>
      </c>
      <c r="M479" s="1879">
        <f>'Part III-Sources of Funds'!M45</f>
        <v>0</v>
      </c>
      <c r="N479" s="1863" t="str">
        <f>'Part III-Sources of Funds'!N45</f>
        <v>Cash Flow</v>
      </c>
      <c r="O479" s="1863"/>
      <c r="P479" s="1981">
        <f>'Part III-Sources of Funds'!P45</f>
        <v>0</v>
      </c>
      <c r="Q479" s="1981"/>
      <c r="S479" s="1956"/>
      <c r="T479" s="1956"/>
      <c r="Y479" s="1972" t="s">
        <v>6668</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3558</v>
      </c>
      <c r="C481" s="1856"/>
      <c r="E481" s="1875" t="s">
        <v>3511</v>
      </c>
      <c r="F481" s="1988">
        <f>'Part III-Sources of Funds'!F47</f>
        <v>546628.70137553965</v>
      </c>
      <c r="H481" s="1989" t="s">
        <v>3557</v>
      </c>
      <c r="I481" s="1988">
        <f>'Part III-Sources of Funds'!I47</f>
        <v>464780</v>
      </c>
      <c r="K481" s="1989" t="s">
        <v>3559</v>
      </c>
      <c r="L481" s="1990">
        <f>'Part III-Sources of Funds'!L47</f>
        <v>0.85026636696980029</v>
      </c>
      <c r="M481" s="1990"/>
      <c r="N481" s="1981" t="s">
        <v>4029</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6669</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6669</v>
      </c>
      <c r="Z483" s="1857">
        <v>49</v>
      </c>
      <c r="AZ483" s="1972" t="s">
        <v>6670</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6670</v>
      </c>
      <c r="Z484" s="1857">
        <v>50</v>
      </c>
      <c r="AZ484" s="1972" t="s">
        <v>6671</v>
      </c>
    </row>
    <row r="485" spans="1:52" s="1875" customFormat="1" ht="15.75" customHeight="1">
      <c r="A485" s="1856"/>
      <c r="B485" s="1856" t="s">
        <v>769</v>
      </c>
      <c r="C485" s="1856"/>
      <c r="D485" s="1856"/>
      <c r="E485" s="1863" t="str">
        <f>'Part III-Sources of Funds'!E51</f>
        <v>Boston Financial Investment Management, Inc.</v>
      </c>
      <c r="F485" s="1863"/>
      <c r="G485" s="1863"/>
      <c r="H485" s="1863"/>
      <c r="I485" s="1894">
        <f>'Part III-Sources of Funds'!I51</f>
        <v>8909100</v>
      </c>
      <c r="J485" s="1863"/>
      <c r="L485" s="1995">
        <f>'Part III-Sources of Funds'!L51</f>
        <v>9000000</v>
      </c>
      <c r="M485" s="1995"/>
      <c r="N485" s="1996">
        <f>I485-L485</f>
        <v>-90900</v>
      </c>
      <c r="O485" s="1996"/>
      <c r="P485" s="1997">
        <f>I485/I495</f>
        <v>0.38158637067078438</v>
      </c>
      <c r="Q485" s="1856"/>
      <c r="S485" s="1956"/>
      <c r="T485" s="1956"/>
      <c r="Y485" s="1972" t="s">
        <v>6671</v>
      </c>
      <c r="Z485" s="1868">
        <v>51</v>
      </c>
      <c r="AZ485" s="1972" t="s">
        <v>6672</v>
      </c>
    </row>
    <row r="486" spans="1:52" s="1875" customFormat="1" ht="15.75" customHeight="1">
      <c r="A486" s="1856"/>
      <c r="B486" s="1856" t="s">
        <v>770</v>
      </c>
      <c r="C486" s="1856"/>
      <c r="D486" s="1856"/>
      <c r="E486" s="1863" t="str">
        <f>'Part III-Sources of Funds'!E52</f>
        <v xml:space="preserve">Boston Financial Investment Management, Inc. </v>
      </c>
      <c r="F486" s="1863"/>
      <c r="G486" s="1863"/>
      <c r="H486" s="1863"/>
      <c r="I486" s="1894">
        <f>'Part III-Sources of Funds'!I52</f>
        <v>6090000</v>
      </c>
      <c r="J486" s="1863"/>
      <c r="L486" s="1995">
        <f>'Part III-Sources of Funds'!L52</f>
        <v>6000000</v>
      </c>
      <c r="M486" s="1995"/>
      <c r="N486" s="1996">
        <f>I486-L486</f>
        <v>90000</v>
      </c>
      <c r="O486" s="1996"/>
      <c r="P486" s="1997">
        <f>I486/I495</f>
        <v>0.26084127435824911</v>
      </c>
      <c r="Q486" s="1856"/>
      <c r="S486" s="1956"/>
      <c r="T486" s="1956"/>
      <c r="Y486" s="1972" t="s">
        <v>6672</v>
      </c>
      <c r="Z486" s="1857">
        <v>52</v>
      </c>
      <c r="AZ486" s="1972" t="s">
        <v>6673</v>
      </c>
    </row>
    <row r="487" spans="1:52" s="1875" customFormat="1" ht="15.75" customHeight="1">
      <c r="A487" s="1856"/>
      <c r="B487" s="1856" t="s">
        <v>1360</v>
      </c>
      <c r="C487" s="1856"/>
      <c r="D487" s="1856"/>
      <c r="E487" s="1863" t="str">
        <f>'Part III-Sources of Funds'!E53</f>
        <v>Boston Financial Investment Management, Inc. (State and Federal)</v>
      </c>
      <c r="F487" s="1863"/>
      <c r="G487" s="1863"/>
      <c r="H487" s="1863"/>
      <c r="I487" s="1894">
        <f>'Part III-Sources of Funds'!I53</f>
        <v>1883652</v>
      </c>
      <c r="J487" s="1863"/>
      <c r="P487" s="1997">
        <f>SUM(P485:P486)</f>
        <v>0.64242764502903349</v>
      </c>
      <c r="Q487" s="1856"/>
      <c r="S487" s="1956"/>
      <c r="T487" s="1956"/>
      <c r="Y487" s="1972" t="s">
        <v>6673</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6674</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6674</v>
      </c>
      <c r="Z491" s="1857">
        <v>57</v>
      </c>
      <c r="AZ491" s="1972" t="s">
        <v>6675</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6675</v>
      </c>
      <c r="Z492" s="1857">
        <v>58</v>
      </c>
      <c r="AZ492" s="1972" t="s">
        <v>6676</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6676</v>
      </c>
      <c r="Z493" s="1857">
        <v>59</v>
      </c>
      <c r="AZ493" s="1972"/>
    </row>
    <row r="494" spans="1:52" s="1875" customFormat="1" ht="14.25" customHeight="1">
      <c r="A494" s="1856"/>
      <c r="B494" s="1858" t="s">
        <v>2115</v>
      </c>
      <c r="C494" s="1856"/>
      <c r="D494" s="1856"/>
      <c r="E494" s="1856"/>
      <c r="F494" s="1856"/>
      <c r="G494" s="1856"/>
      <c r="I494" s="1980">
        <f>SUM(I474:J479)+SUM(I483:J493)</f>
        <v>23347532</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23347532</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4145</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 xml:space="preserve">Permanent financing and construction financing for the proposed project are being provided by Cadence Bank.  Boston Financial Investment Management, LP is making a capital contribution of $8,909,100, which is equal to $0.90 for 98.99% of the allocated Federal Credits from the Partnership.  Boston Financial  is making a capital contribution of $6,090,000, which is equal to $0.90 for 1% of the allocated Federal Credits and $0.60 for 100% of the State Credits from the Partnership.   Combined Boston Financial is 99.99% of the partnership with capital contribution of $14,999,100 for the LIHTC equity.  Boston Financial Investment Management, Inc. is providing $1,643,652 in Federal Historic Equity and $240,000 in State Historic Equity for a combined $1,883,652. The preliminary commitment letter terms matches the Federal Partner's percentages, funding delivery schedules, and all other timing measures.  Sixty percent of the tax credit and historic equity will be funded during the construction phase of the project.  Hallmark Development Partners, LLC is deferring a portion of the earned developer fee during the construction phase and anticipates deferring less that 25% of the developer fee during the permanent phase.  The developer fee will be paid within 7 years from projected cash flow.  Cadence Bank and the Historic Investor are providing financing for both the Residential and Commercial Components of the mixed use project.  The sources listed above are the portion of sources allocated to the residential uses of the building only.   Please see all documentation in Tab 1 of the application for further details regarding financing and equity sources including the budgetary information for the Commercial component of the project.  </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2021-006 Wagon Works, ,  County</v>
      </c>
      <c r="W505" s="1856" t="str">
        <f>A505</f>
        <v>PART FOUR (A):  USES OF FUNDS  -  2021-006 Wagon Works,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5500</v>
      </c>
      <c r="H512" s="1871"/>
      <c r="J512" s="1871">
        <f>'Part IV-A-Uses of Funds'!J9</f>
        <v>5500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5500</v>
      </c>
      <c r="H513" s="1871"/>
      <c r="J513" s="1871">
        <f>'Part IV-A-Uses of Funds'!J10</f>
        <v>5500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31940</v>
      </c>
      <c r="H514" s="1871"/>
      <c r="J514" s="1871">
        <f>'Part IV-A-Uses of Funds'!J11</f>
        <v>31940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0</v>
      </c>
      <c r="H515" s="1871"/>
      <c r="J515" s="1871">
        <f>'Part IV-A-Uses of Funds'!J12</f>
        <v>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20000</v>
      </c>
      <c r="H516" s="1871"/>
      <c r="J516" s="1871">
        <f>'Part IV-A-Uses of Funds'!J13</f>
        <v>20000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6576</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6677</v>
      </c>
      <c r="BA518" s="1857">
        <v>15</v>
      </c>
    </row>
    <row r="519" spans="1:53" s="1856" customFormat="1" ht="11.25" customHeight="1">
      <c r="A519" s="2006" t="str">
        <f>IF(AND(G519&gt;0,OR(C519="",C519="&lt;Enter detailed description here; use Comments section if needed&gt;")),"X","")</f>
        <v/>
      </c>
      <c r="B519" s="1864" t="s">
        <v>6577</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6678</v>
      </c>
      <c r="BA519" s="1857">
        <v>16</v>
      </c>
    </row>
    <row r="520" spans="1:53" s="1856" customFormat="1" ht="11.25" customHeight="1">
      <c r="A520" s="2006" t="str">
        <f>IF(AND(G520&gt;0,OR(C520="",C520="&lt;Enter detailed description here; use Comments section if needed&gt;")),"X","")</f>
        <v/>
      </c>
      <c r="B520" s="1864" t="s">
        <v>6578</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6679</v>
      </c>
      <c r="BA520" s="1857">
        <v>17</v>
      </c>
    </row>
    <row r="521" spans="1:53" s="1856" customFormat="1" ht="12.6" customHeight="1">
      <c r="F521" s="2007" t="s">
        <v>183</v>
      </c>
      <c r="G521" s="2002">
        <f>SUM(G512:G520)</f>
        <v>62940</v>
      </c>
      <c r="H521" s="2002"/>
      <c r="J521" s="2002">
        <f>SUM(J512:J520)</f>
        <v>62940</v>
      </c>
      <c r="K521" s="2002"/>
      <c r="L521" s="1889"/>
      <c r="M521" s="2002">
        <f>SUM(M512:M520)</f>
        <v>0</v>
      </c>
      <c r="N521" s="2002"/>
      <c r="P521" s="2002">
        <f>SUM(P512:P520)</f>
        <v>0</v>
      </c>
      <c r="Q521" s="2002"/>
      <c r="S521" s="2002">
        <f>SUM(S512:S520)</f>
        <v>0</v>
      </c>
      <c r="T521" s="2002"/>
      <c r="V521" s="2004">
        <f>SUM(V512:V520)</f>
        <v>0</v>
      </c>
      <c r="W521" s="2005"/>
      <c r="X521" s="2005"/>
      <c r="AZ521" s="1937" t="s">
        <v>6680</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3353</v>
      </c>
      <c r="F523" s="2010">
        <f>IF('Part I-Project Information'!$O$38="","",G523/'Part I-Project Information'!$O$38)</f>
        <v>44722.719141323789</v>
      </c>
      <c r="G523" s="1871">
        <f>'Part IV-A-Uses of Funds'!G20</f>
        <v>200000</v>
      </c>
      <c r="H523" s="1871"/>
      <c r="J523" s="1889"/>
      <c r="K523" s="2002"/>
      <c r="L523" s="1889"/>
      <c r="M523" s="1889"/>
      <c r="N523" s="2002"/>
      <c r="P523" s="1889"/>
      <c r="Q523" s="2002"/>
      <c r="S523" s="1871">
        <f>'Part IV-A-Uses of Funds'!S20</f>
        <v>200000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5000</v>
      </c>
      <c r="H525" s="1871"/>
      <c r="J525" s="1889"/>
      <c r="K525" s="2002"/>
      <c r="L525" s="1889"/>
      <c r="M525" s="1871">
        <f>'Part IV-A-Uses of Funds'!M22</f>
        <v>0</v>
      </c>
      <c r="N525" s="1871"/>
      <c r="P525" s="1889"/>
      <c r="Q525" s="2002"/>
      <c r="S525" s="1871">
        <f>'Part IV-A-Uses of Funds'!S22</f>
        <v>5000</v>
      </c>
      <c r="T525" s="1871"/>
      <c r="V525" s="2004"/>
      <c r="W525" s="2005"/>
      <c r="X525" s="2005"/>
      <c r="AZ525" s="1937"/>
      <c r="BA525" s="1857">
        <v>22</v>
      </c>
    </row>
    <row r="526" spans="1:53" s="1856" customFormat="1" ht="11.25" customHeight="1">
      <c r="B526" s="1856" t="s">
        <v>411</v>
      </c>
      <c r="G526" s="1871">
        <f>'Part IV-A-Uses of Funds'!G23</f>
        <v>7879285</v>
      </c>
      <c r="H526" s="1871"/>
      <c r="J526" s="1889"/>
      <c r="K526" s="2002"/>
      <c r="L526" s="1889"/>
      <c r="M526" s="1871">
        <f>'Part IV-A-Uses of Funds'!M23</f>
        <v>0</v>
      </c>
      <c r="N526" s="1871"/>
      <c r="P526" s="1889"/>
      <c r="Q526" s="2002"/>
      <c r="S526" s="1871">
        <f>'Part IV-A-Uses of Funds'!S23</f>
        <v>7879285</v>
      </c>
      <c r="T526" s="1871"/>
      <c r="V526" s="2004"/>
      <c r="W526" s="2005"/>
      <c r="X526" s="2005"/>
      <c r="AZ526" s="1937"/>
      <c r="BA526" s="1857">
        <v>23</v>
      </c>
    </row>
    <row r="527" spans="1:53" s="1856" customFormat="1" ht="12.6" customHeight="1">
      <c r="F527" s="2007" t="s">
        <v>183</v>
      </c>
      <c r="G527" s="2002">
        <f>SUM(G523:G526)</f>
        <v>8084285</v>
      </c>
      <c r="H527" s="2002"/>
      <c r="J527" s="1889"/>
      <c r="K527" s="2002"/>
      <c r="L527" s="1889"/>
      <c r="M527" s="2002">
        <f>SUM(M525:M526)</f>
        <v>0</v>
      </c>
      <c r="N527" s="2002"/>
      <c r="P527" s="1889"/>
      <c r="Q527" s="2002"/>
      <c r="S527" s="2002">
        <f>SUM(S523:S526)</f>
        <v>8084285</v>
      </c>
      <c r="T527" s="2002"/>
      <c r="V527" s="2004">
        <f>SUM(V523:V526)</f>
        <v>0</v>
      </c>
      <c r="W527" s="2005"/>
      <c r="X527" s="2005"/>
      <c r="AZ527" s="1937" t="s">
        <v>6681</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136205.94812164578</v>
      </c>
      <c r="G529" s="1871">
        <f>'Part IV-A-Uses of Funds'!G26</f>
        <v>609113</v>
      </c>
      <c r="H529" s="1871"/>
      <c r="J529" s="1871">
        <f>'Part IV-A-Uses of Funds'!J26</f>
        <v>609113</v>
      </c>
      <c r="K529" s="1871"/>
      <c r="L529" s="1889"/>
      <c r="M529" s="1871">
        <f>'Part IV-A-Uses of Funds'!M26</f>
        <v>0</v>
      </c>
      <c r="N529" s="1871"/>
      <c r="P529" s="1871">
        <f>'Part IV-A-Uses of Funds'!P26</f>
        <v>0</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609113</v>
      </c>
      <c r="H531" s="2002"/>
      <c r="J531" s="2002">
        <f>SUM(J529:J530)</f>
        <v>609113</v>
      </c>
      <c r="K531" s="2002"/>
      <c r="L531" s="1889"/>
      <c r="M531" s="2002">
        <f>M529</f>
        <v>0</v>
      </c>
      <c r="N531" s="2002"/>
      <c r="P531" s="2002">
        <f>P529</f>
        <v>0</v>
      </c>
      <c r="Q531" s="2002"/>
      <c r="S531" s="2002">
        <f>SUM(S529:S530)</f>
        <v>0</v>
      </c>
      <c r="T531" s="2002"/>
      <c r="V531" s="2004">
        <f>SUM(V529:V530)</f>
        <v>0</v>
      </c>
      <c r="W531" s="2005"/>
      <c r="X531" s="2005"/>
      <c r="AZ531" s="1937" t="s">
        <v>6682</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8231787</v>
      </c>
      <c r="H533" s="1871"/>
      <c r="J533" s="1871">
        <f>'Part IV-A-Uses of Funds'!J30</f>
        <v>8231787</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6299</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6297</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6298</v>
      </c>
      <c r="G538" s="1871">
        <f>'Part IV-A-Uses of Funds'!G35</f>
        <v>59100</v>
      </c>
      <c r="H538" s="1871"/>
      <c r="I538" s="1856"/>
      <c r="J538" s="1871">
        <f>'Part IV-A-Uses of Funds'!J35</f>
        <v>59100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8290887</v>
      </c>
      <c r="H539" s="2002"/>
      <c r="J539" s="2002">
        <f>SUM(J533:J538)</f>
        <v>8290887</v>
      </c>
      <c r="K539" s="2002"/>
      <c r="L539" s="1889"/>
      <c r="M539" s="2002">
        <f>SUM(M533:M538)</f>
        <v>0</v>
      </c>
      <c r="N539" s="2002"/>
      <c r="P539" s="2002">
        <f>SUM(P533:P538)</f>
        <v>0</v>
      </c>
      <c r="Q539" s="2002"/>
      <c r="S539" s="2002">
        <f>SUM(S533:S538)</f>
        <v>0</v>
      </c>
      <c r="T539" s="2002"/>
      <c r="V539" s="2004">
        <f>SUM(V533:V538)</f>
        <v>0</v>
      </c>
      <c r="W539" s="2005"/>
      <c r="X539" s="2005"/>
      <c r="AZ539" s="1937" t="s">
        <v>6683</v>
      </c>
      <c r="BA539" s="1857">
        <v>36</v>
      </c>
    </row>
    <row r="540" spans="2:53" s="1856" customFormat="1" ht="12" customHeight="1">
      <c r="B540" s="1856" t="s">
        <v>2239</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534000</v>
      </c>
      <c r="F541" s="2015">
        <f>IF(($G$28+$G$36)=0,0,G541/($G$28+$G$36))</f>
        <v>0</v>
      </c>
      <c r="G541" s="1871">
        <f>'Part IV-A-Uses of Funds'!G38</f>
        <v>534000</v>
      </c>
      <c r="H541" s="1871"/>
      <c r="I541" s="1865"/>
      <c r="J541" s="1871">
        <f>'Part IV-A-Uses of Funds'!J38</f>
        <v>534000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178000</v>
      </c>
      <c r="F542" s="2015">
        <f>IF(($G$28+$G$36)=0,0,G542/($G$28+$G$36))</f>
        <v>0</v>
      </c>
      <c r="G542" s="1871">
        <f>'Part IV-A-Uses of Funds'!G39</f>
        <v>178000</v>
      </c>
      <c r="H542" s="1871"/>
      <c r="I542" s="1865"/>
      <c r="J542" s="1871">
        <f>'Part IV-A-Uses of Funds'!J39</f>
        <v>178000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534000</v>
      </c>
      <c r="F543" s="2015">
        <f>IF(($G$28+$G$36)=0,0,G543/($G$28+$G$36))</f>
        <v>0</v>
      </c>
      <c r="G543" s="1871">
        <f>'Part IV-A-Uses of Funds'!G40</f>
        <v>534000</v>
      </c>
      <c r="H543" s="1871"/>
      <c r="I543" s="1865"/>
      <c r="J543" s="1871">
        <f>'Part IV-A-Uses of Funds'!J40</f>
        <v>534000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1246000</v>
      </c>
      <c r="F544" s="2007" t="s">
        <v>183</v>
      </c>
      <c r="G544" s="2002">
        <f>SUM(G541:G543)</f>
        <v>1246000</v>
      </c>
      <c r="H544" s="2002"/>
      <c r="J544" s="2002">
        <f>SUM(J541:J543)</f>
        <v>1246000</v>
      </c>
      <c r="K544" s="2002"/>
      <c r="L544" s="1889"/>
      <c r="M544" s="2002">
        <f>SUM(M541:M543)</f>
        <v>0</v>
      </c>
      <c r="N544" s="2002"/>
      <c r="P544" s="2002">
        <f>SUM(P541:P543)</f>
        <v>0</v>
      </c>
      <c r="Q544" s="2002"/>
      <c r="S544" s="2002">
        <f>SUM(S541:S543)</f>
        <v>0</v>
      </c>
      <c r="T544" s="2002"/>
      <c r="V544" s="2004">
        <f>SUM(V541:V543)</f>
        <v>0</v>
      </c>
      <c r="W544" s="2005"/>
      <c r="X544" s="2005"/>
      <c r="AZ544" s="1937" t="s">
        <v>6684</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6815</v>
      </c>
      <c r="E546" s="1857"/>
      <c r="F546" s="1857"/>
      <c r="G546" s="2019">
        <f>G531+G539+G544</f>
        <v>10146000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6685</v>
      </c>
      <c r="BA547" s="1857">
        <v>44</v>
      </c>
    </row>
    <row r="548" spans="1:53" s="1856" customFormat="1" ht="12" customHeight="1">
      <c r="B548" s="1856" t="s">
        <v>7087</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6579</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6686</v>
      </c>
      <c r="BA550" s="1868">
        <v>47</v>
      </c>
    </row>
    <row r="551" spans="1:53" s="1856" customFormat="1" ht="12.6" customHeight="1">
      <c r="B551" s="2020" t="s">
        <v>7088</v>
      </c>
      <c r="C551" s="2021"/>
      <c r="E551" s="1856" t="s">
        <v>2579</v>
      </c>
      <c r="F551" s="2022">
        <f>C552/'Part VI-Revenues &amp; Expenses'!$P$65</f>
        <v>114000</v>
      </c>
      <c r="G551" s="2023" t="s">
        <v>7089</v>
      </c>
      <c r="J551" s="2024">
        <f>C552/'Part VI-Revenues &amp; Expenses'!$P$67</f>
        <v>114000</v>
      </c>
      <c r="K551" s="2024"/>
      <c r="M551" s="2025" t="s">
        <v>6795</v>
      </c>
      <c r="N551" s="2025"/>
      <c r="P551" s="2024">
        <f>C552/'Part I-Project Information'!$P$70</f>
        <v>100.80476900149031</v>
      </c>
      <c r="Q551" s="2024"/>
      <c r="S551" s="1896" t="s">
        <v>6797</v>
      </c>
      <c r="T551" s="1896"/>
      <c r="V551" s="2008"/>
      <c r="W551" s="2005"/>
      <c r="X551" s="2005"/>
      <c r="AZ551" s="1937"/>
      <c r="BA551" s="1857">
        <v>48</v>
      </c>
    </row>
    <row r="552" spans="1:53" s="1856" customFormat="1" ht="12.6" customHeight="1">
      <c r="B552" s="2026" t="s">
        <v>6814</v>
      </c>
      <c r="C552" s="2027">
        <f>G531+G539+G544+G549</f>
        <v>10146000</v>
      </c>
      <c r="F552" s="2022">
        <f>C552/'Part VI-Revenues &amp; Expenses'!$P$166</f>
        <v>122.31464737793851</v>
      </c>
      <c r="G552" s="1896" t="s">
        <v>7090</v>
      </c>
      <c r="J552" s="2024">
        <f>C552/'Part VI-Revenues &amp; Expenses'!$P$168</f>
        <v>122.31464737793851</v>
      </c>
      <c r="K552" s="2024"/>
      <c r="M552" s="1896" t="s">
        <v>6796</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7091</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6607</v>
      </c>
      <c r="F557" s="2028" t="s">
        <v>3563</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3562</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507300</v>
      </c>
      <c r="F558" s="2031">
        <f>G558/C552</f>
        <v>0.05</v>
      </c>
      <c r="G558" s="1871">
        <f>'Part IV-A-Uses of Funds'!G55</f>
        <v>507300</v>
      </c>
      <c r="H558" s="1871"/>
      <c r="I558" s="1856"/>
      <c r="J558" s="1871">
        <f>'Part IV-A-Uses of Funds'!J55</f>
        <v>507300</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6608</v>
      </c>
      <c r="C560" s="2021"/>
      <c r="E560" s="1856" t="s">
        <v>6609</v>
      </c>
      <c r="F560" s="2022">
        <f>B561/'Part VI-Revenues &amp; Expenses'!$P$65</f>
        <v>119700</v>
      </c>
      <c r="G560" s="2023" t="s">
        <v>7089</v>
      </c>
      <c r="J560" s="2024">
        <f>B561/'Part VI-Revenues &amp; Expenses'!$P$67</f>
        <v>119700</v>
      </c>
      <c r="K560" s="2024"/>
      <c r="M560" s="2025" t="s">
        <v>6795</v>
      </c>
      <c r="N560" s="2025"/>
      <c r="P560" s="2024">
        <f>B561/'Part I-Project Information'!$P$70</f>
        <v>105.84500745156483</v>
      </c>
      <c r="Q560" s="2024"/>
      <c r="S560" s="1896" t="s">
        <v>6797</v>
      </c>
      <c r="T560" s="1896"/>
      <c r="V560" s="2008"/>
      <c r="W560" s="2005"/>
      <c r="X560" s="2005"/>
      <c r="AZ560" s="1937"/>
      <c r="BA560" s="1857">
        <v>54</v>
      </c>
    </row>
    <row r="561" spans="1:53" s="1856" customFormat="1" ht="12.6" customHeight="1">
      <c r="B561" s="2027">
        <f>C552+G558</f>
        <v>10653300</v>
      </c>
      <c r="C561" s="2027"/>
      <c r="F561" s="2022">
        <f>B561/'Part VI-Revenues &amp; Expenses'!$P$166</f>
        <v>128.43037974683546</v>
      </c>
      <c r="G561" s="1896" t="s">
        <v>7090</v>
      </c>
      <c r="J561" s="2024">
        <f>B561/'Part VI-Revenues &amp; Expenses'!$P$168</f>
        <v>128.43037974683546</v>
      </c>
      <c r="K561" s="2024"/>
      <c r="M561" s="1896" t="s">
        <v>6796</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125000</v>
      </c>
      <c r="H566" s="1871"/>
      <c r="J566" s="1871">
        <f>'Part IV-A-Uses of Funds'!J63</f>
        <v>125000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668777</v>
      </c>
      <c r="H567" s="1871"/>
      <c r="J567" s="1871">
        <f>'Part IV-A-Uses of Funds'!J64</f>
        <v>412592</v>
      </c>
      <c r="K567" s="1871"/>
      <c r="L567" s="1889"/>
      <c r="M567" s="1871">
        <f>'Part IV-A-Uses of Funds'!M64</f>
        <v>0</v>
      </c>
      <c r="N567" s="1871"/>
      <c r="P567" s="1871">
        <f>'Part IV-A-Uses of Funds'!P64</f>
        <v>0</v>
      </c>
      <c r="Q567" s="1871"/>
      <c r="S567" s="1871">
        <f>'Part IV-A-Uses of Funds'!S64</f>
        <v>256185</v>
      </c>
      <c r="T567" s="1871"/>
      <c r="V567" s="2004"/>
      <c r="W567" s="2005"/>
      <c r="X567" s="2005"/>
      <c r="AZ567" s="1937"/>
      <c r="BA567" s="1857">
        <v>64</v>
      </c>
    </row>
    <row r="568" spans="1:53" s="1856" customFormat="1" ht="12" customHeight="1">
      <c r="B568" s="1856" t="s">
        <v>2244</v>
      </c>
      <c r="G568" s="1871">
        <f>'Part IV-A-Uses of Funds'!G65</f>
        <v>5000</v>
      </c>
      <c r="H568" s="1871"/>
      <c r="J568" s="1871">
        <f>'Part IV-A-Uses of Funds'!J65</f>
        <v>5000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6687</v>
      </c>
      <c r="BA568" s="1857">
        <v>65</v>
      </c>
    </row>
    <row r="569" spans="1:53" s="1856" customFormat="1" ht="12" customHeight="1">
      <c r="B569" s="1856" t="s">
        <v>2539</v>
      </c>
      <c r="G569" s="1871">
        <f>'Part IV-A-Uses of Funds'!G66</f>
        <v>5000</v>
      </c>
      <c r="H569" s="1871"/>
      <c r="J569" s="1871">
        <f>'Part IV-A-Uses of Funds'!J66</f>
        <v>5000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6688</v>
      </c>
      <c r="BA569" s="1857">
        <v>66</v>
      </c>
    </row>
    <row r="570" spans="1:53" s="1856" customFormat="1" ht="12" customHeight="1">
      <c r="B570" s="1856" t="s">
        <v>693</v>
      </c>
      <c r="G570" s="1871">
        <f>'Part IV-A-Uses of Funds'!G67</f>
        <v>133283</v>
      </c>
      <c r="H570" s="1871"/>
      <c r="J570" s="1871">
        <f>'Part IV-A-Uses of Funds'!J67</f>
        <v>133283</v>
      </c>
      <c r="K570" s="1871"/>
      <c r="L570" s="1889"/>
      <c r="M570" s="1871">
        <f>'Part IV-A-Uses of Funds'!M67</f>
        <v>0</v>
      </c>
      <c r="N570" s="1871"/>
      <c r="P570" s="1871">
        <f>'Part IV-A-Uses of Funds'!P67</f>
        <v>0</v>
      </c>
      <c r="Q570" s="1871"/>
      <c r="S570" s="1871">
        <f>'Part IV-A-Uses of Funds'!S67</f>
        <v>0</v>
      </c>
      <c r="T570" s="1871"/>
      <c r="V570" s="2004"/>
      <c r="W570" s="2005"/>
      <c r="X570" s="2005"/>
      <c r="AZ570" s="1937" t="s">
        <v>6689</v>
      </c>
      <c r="BA570" s="1857">
        <v>67</v>
      </c>
    </row>
    <row r="571" spans="1:53" s="1856" customFormat="1" ht="12" customHeight="1">
      <c r="B571" s="1856" t="s">
        <v>2245</v>
      </c>
      <c r="G571" s="1871">
        <f>'Part IV-A-Uses of Funds'!G68</f>
        <v>75000</v>
      </c>
      <c r="H571" s="1871"/>
      <c r="J571" s="1871">
        <f>'Part IV-A-Uses of Funds'!J68</f>
        <v>75000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15000</v>
      </c>
      <c r="H572" s="1871"/>
      <c r="J572" s="1871">
        <f>'Part IV-A-Uses of Funds'!J69</f>
        <v>15000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70000</v>
      </c>
      <c r="H573" s="1871"/>
      <c r="I573" s="1865"/>
      <c r="J573" s="1871">
        <f>'Part IV-A-Uses of Funds'!J70</f>
        <v>70000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6581</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6582</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1097060</v>
      </c>
      <c r="H576" s="2002"/>
      <c r="J576" s="2002">
        <f>SUM(J564:J575)</f>
        <v>840875</v>
      </c>
      <c r="K576" s="2002"/>
      <c r="L576" s="1889"/>
      <c r="M576" s="2002">
        <f>SUM(M564:M575)</f>
        <v>0</v>
      </c>
      <c r="N576" s="2002"/>
      <c r="P576" s="2002">
        <f>SUM(P564:P575)</f>
        <v>0</v>
      </c>
      <c r="Q576" s="2002"/>
      <c r="S576" s="2002">
        <f>SUM(S564:S575)</f>
        <v>256185</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120000</v>
      </c>
      <c r="H578" s="1871"/>
      <c r="J578" s="1871">
        <f>'Part IV-A-Uses of Funds'!J75</f>
        <v>120000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30000</v>
      </c>
      <c r="H579" s="1871"/>
      <c r="J579" s="1871">
        <f>'Part IV-A-Uses of Funds'!J76</f>
        <v>30000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7500</v>
      </c>
      <c r="H581" s="1871"/>
      <c r="J581" s="1871">
        <f>'Part IV-A-Uses of Funds'!J78</f>
        <v>7500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7500</v>
      </c>
      <c r="H582" s="1871"/>
      <c r="J582" s="1871">
        <f>'Part IV-A-Uses of Funds'!J79</f>
        <v>7500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6690</v>
      </c>
      <c r="BA582" s="1857">
        <v>79</v>
      </c>
    </row>
    <row r="583" spans="1:53" s="1856" customFormat="1" ht="12" customHeight="1">
      <c r="B583" s="1856" t="s">
        <v>1089</v>
      </c>
      <c r="G583" s="1871">
        <f>'Part IV-A-Uses of Funds'!G80</f>
        <v>5000</v>
      </c>
      <c r="H583" s="1871"/>
      <c r="J583" s="1871">
        <f>'Part IV-A-Uses of Funds'!J80</f>
        <v>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6691</v>
      </c>
      <c r="BA583" s="1857">
        <v>80</v>
      </c>
    </row>
    <row r="584" spans="1:53" s="1856" customFormat="1" ht="12" customHeight="1">
      <c r="B584" s="1856" t="s">
        <v>459</v>
      </c>
      <c r="G584" s="1871">
        <f>'Part IV-A-Uses of Funds'!G81</f>
        <v>20000</v>
      </c>
      <c r="H584" s="1871"/>
      <c r="J584" s="1871">
        <f>'Part IV-A-Uses of Funds'!J81</f>
        <v>20000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70000</v>
      </c>
      <c r="H585" s="1871"/>
      <c r="J585" s="1871">
        <f>'Part IV-A-Uses of Funds'!J82</f>
        <v>70000</v>
      </c>
      <c r="K585" s="1871"/>
      <c r="L585" s="1889"/>
      <c r="M585" s="1871">
        <f>'Part IV-A-Uses of Funds'!M82</f>
        <v>0</v>
      </c>
      <c r="N585" s="1871"/>
      <c r="P585" s="1871">
        <f>'Part IV-A-Uses of Funds'!P82</f>
        <v>0</v>
      </c>
      <c r="Q585" s="1871"/>
      <c r="S585" s="1871">
        <f>'Part IV-A-Uses of Funds'!S82</f>
        <v>0</v>
      </c>
      <c r="T585" s="1871"/>
      <c r="V585" s="2004"/>
      <c r="W585" s="2005"/>
      <c r="X585" s="2005"/>
      <c r="AZ585" s="1937"/>
      <c r="BA585" s="1857">
        <v>82</v>
      </c>
    </row>
    <row r="586" spans="1:53" s="1856" customFormat="1" ht="12" customHeight="1">
      <c r="B586" s="1856" t="s">
        <v>1957</v>
      </c>
      <c r="G586" s="1871">
        <f>'Part IV-A-Uses of Funds'!G83</f>
        <v>20000</v>
      </c>
      <c r="H586" s="1871"/>
      <c r="J586" s="1871">
        <f>'Part IV-A-Uses of Funds'!J83</f>
        <v>20000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15000</v>
      </c>
      <c r="H587" s="1871"/>
      <c r="J587" s="1871">
        <f>'Part IV-A-Uses of Funds'!J84</f>
        <v>15000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6583</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315000</v>
      </c>
      <c r="H589" s="2002"/>
      <c r="J589" s="2002">
        <f>SUM(J578:J588)</f>
        <v>315000</v>
      </c>
      <c r="K589" s="2002"/>
      <c r="L589" s="1889"/>
      <c r="M589" s="2002">
        <f>SUM(M578:M588)</f>
        <v>0</v>
      </c>
      <c r="N589" s="2002"/>
      <c r="P589" s="2002">
        <f>SUM(P578:P588)</f>
        <v>0</v>
      </c>
      <c r="Q589" s="2002"/>
      <c r="S589" s="2002">
        <f>SUM(S578:S588)</f>
        <v>0</v>
      </c>
      <c r="T589" s="2002"/>
      <c r="V589" s="2004">
        <f>SUM(V578:V588)</f>
        <v>0</v>
      </c>
      <c r="W589" s="2005"/>
      <c r="X589" s="2005"/>
      <c r="AZ589" s="1937" t="s">
        <v>6692</v>
      </c>
      <c r="BA589" s="1857">
        <v>86</v>
      </c>
    </row>
    <row r="590" spans="1:53" s="1865" customFormat="1" ht="12" customHeight="1">
      <c r="A590" s="1856"/>
      <c r="B590" s="1856" t="s">
        <v>1221</v>
      </c>
      <c r="C590" s="1856"/>
      <c r="D590" s="2035" t="s">
        <v>3361</v>
      </c>
      <c r="E590" s="2036">
        <f>G595/'Part VI-Revenues &amp; Expenses'!$P$67</f>
        <v>3268.5505617977528</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34443</v>
      </c>
      <c r="H591" s="1871"/>
      <c r="J591" s="1871">
        <f>'Part IV-A-Uses of Funds'!J88</f>
        <v>34443</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42858</v>
      </c>
      <c r="H593" s="1871"/>
      <c r="I593" s="1865"/>
      <c r="J593" s="1871">
        <f>'Part IV-A-Uses of Funds'!J90</f>
        <v>42858</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213600</v>
      </c>
      <c r="H594" s="1871"/>
      <c r="I594" s="1865"/>
      <c r="J594" s="1871">
        <f>'Part IV-A-Uses of Funds'!J91</f>
        <v>213600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290901</v>
      </c>
      <c r="H595" s="2002"/>
      <c r="J595" s="2002">
        <f>SUM(J591:J594)</f>
        <v>290901</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7092</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6693</v>
      </c>
      <c r="BA599" s="1868">
        <v>93</v>
      </c>
    </row>
    <row r="600" spans="1:53" s="1856" customFormat="1" ht="12" customHeight="1">
      <c r="B600" s="1856" t="s">
        <v>1226</v>
      </c>
      <c r="G600" s="1871">
        <f>'Part IV-A-Uses of Funds'!G97</f>
        <v>60000</v>
      </c>
      <c r="H600" s="1871"/>
      <c r="J600" s="2002"/>
      <c r="K600" s="2002"/>
      <c r="L600" s="1889"/>
      <c r="M600" s="2002"/>
      <c r="N600" s="2002"/>
      <c r="P600" s="2002"/>
      <c r="Q600" s="2002"/>
      <c r="S600" s="1871">
        <f>'Part IV-A-Uses of Funds'!S97</f>
        <v>60000</v>
      </c>
      <c r="T600" s="1871"/>
      <c r="V600" s="2004"/>
      <c r="W600" s="2005"/>
      <c r="X600" s="2005"/>
      <c r="AZ600" s="1937" t="s">
        <v>6694</v>
      </c>
      <c r="BA600" s="1857">
        <v>94</v>
      </c>
    </row>
    <row r="601" spans="1:53" s="1856" customFormat="1" ht="12" customHeight="1">
      <c r="B601" s="1856" t="s">
        <v>1227</v>
      </c>
      <c r="G601" s="1871">
        <f>'Part IV-A-Uses of Funds'!G98</f>
        <v>5000</v>
      </c>
      <c r="H601" s="1871"/>
      <c r="J601" s="2002"/>
      <c r="K601" s="2002"/>
      <c r="L601" s="1889"/>
      <c r="M601" s="2002"/>
      <c r="N601" s="2002"/>
      <c r="P601" s="2002"/>
      <c r="Q601" s="2002"/>
      <c r="S601" s="1871">
        <f>'Part IV-A-Uses of Funds'!S98</f>
        <v>5000</v>
      </c>
      <c r="T601" s="1871"/>
      <c r="V601" s="2004"/>
      <c r="W601" s="2005"/>
      <c r="X601" s="2005"/>
      <c r="AZ601" s="1937"/>
      <c r="BA601" s="1857">
        <v>95</v>
      </c>
    </row>
    <row r="602" spans="1:53" s="1856" customFormat="1" ht="12" customHeight="1">
      <c r="B602" s="1856" t="s">
        <v>1228</v>
      </c>
      <c r="G602" s="1871">
        <f>'Part IV-A-Uses of Funds'!G99</f>
        <v>12500</v>
      </c>
      <c r="H602" s="1871"/>
      <c r="J602" s="2002"/>
      <c r="K602" s="2002"/>
      <c r="L602" s="1889"/>
      <c r="M602" s="2002"/>
      <c r="N602" s="2002"/>
      <c r="P602" s="2002"/>
      <c r="Q602" s="2002"/>
      <c r="S602" s="1871">
        <f>'Part IV-A-Uses of Funds'!S99</f>
        <v>12500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6584</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77500</v>
      </c>
      <c r="H606" s="2002"/>
      <c r="J606" s="2002"/>
      <c r="K606" s="2002"/>
      <c r="L606" s="1889"/>
      <c r="M606" s="2002"/>
      <c r="N606" s="2002"/>
      <c r="P606" s="2002"/>
      <c r="Q606" s="2002"/>
      <c r="S606" s="2002">
        <f>SUM(S600:S605)</f>
        <v>77500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1000</v>
      </c>
      <c r="H608" s="1871"/>
      <c r="J608" s="1889"/>
      <c r="K608" s="1889"/>
      <c r="L608" s="1889"/>
      <c r="M608" s="1889"/>
      <c r="N608" s="1889"/>
      <c r="P608" s="1889"/>
      <c r="Q608" s="1889"/>
      <c r="S608" s="1871">
        <f>'Part IV-A-Uses of Funds'!S105</f>
        <v>1000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6695</v>
      </c>
      <c r="BA609" s="1857">
        <v>106</v>
      </c>
    </row>
    <row r="610" spans="1:53" s="1856" customFormat="1" ht="12.6" customHeight="1">
      <c r="B610" s="1856" t="s">
        <v>3462</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6696</v>
      </c>
      <c r="BA610" s="1857">
        <v>107</v>
      </c>
    </row>
    <row r="611" spans="1:53" s="1856" customFormat="1" ht="12.6" customHeight="1">
      <c r="B611" s="1856" t="s">
        <v>494</v>
      </c>
      <c r="E611" s="2039">
        <f>ROUNDUP('DCA Underwriting Assumptions'!$Q$93*J700,0)</f>
        <v>80000</v>
      </c>
      <c r="F611" s="2039"/>
      <c r="G611" s="1871">
        <f>'Part IV-A-Uses of Funds'!G108</f>
        <v>80000</v>
      </c>
      <c r="H611" s="1871"/>
      <c r="J611" s="2040" t="str">
        <f>IF(E611&gt;G611,"WARNING!  LIHTC Allocation Fee proposed is below minimum required.","")</f>
        <v/>
      </c>
      <c r="K611" s="1889"/>
      <c r="L611" s="1889"/>
      <c r="M611" s="1889"/>
      <c r="N611" s="1889"/>
      <c r="P611" s="1889"/>
      <c r="Q611" s="1889"/>
      <c r="S611" s="1871">
        <f>'Part IV-A-Uses of Funds'!S108</f>
        <v>80000</v>
      </c>
      <c r="T611" s="1871"/>
      <c r="V611" s="2004"/>
      <c r="W611" s="2005"/>
      <c r="X611" s="2005"/>
      <c r="AZ611" s="1937" t="s">
        <v>6697</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89000</v>
      </c>
      <c r="F612" s="2039"/>
      <c r="G612" s="1871">
        <f>'Part IV-A-Uses of Funds'!G109</f>
        <v>89000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89000</v>
      </c>
      <c r="T612" s="1871"/>
      <c r="V612" s="2004"/>
      <c r="W612" s="2005"/>
      <c r="X612" s="2005"/>
      <c r="AZ612" s="1937"/>
      <c r="BA612" s="1868">
        <v>109</v>
      </c>
    </row>
    <row r="613" spans="1:53" s="1856" customFormat="1" ht="12.6" customHeight="1">
      <c r="B613" s="1856" t="s">
        <v>3602</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3603</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6580</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6580</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6698</v>
      </c>
      <c r="BA616" s="1857">
        <v>113</v>
      </c>
    </row>
    <row r="617" spans="1:53" s="1856" customFormat="1" ht="12.6" customHeight="1">
      <c r="F617" s="2007" t="s">
        <v>183</v>
      </c>
      <c r="G617" s="2002">
        <f>SUM(G608:G616)</f>
        <v>180500</v>
      </c>
      <c r="H617" s="2002"/>
      <c r="J617" s="1889"/>
      <c r="K617" s="1889"/>
      <c r="L617" s="1889"/>
      <c r="M617" s="1889"/>
      <c r="N617" s="1889"/>
      <c r="P617" s="1889"/>
      <c r="Q617" s="1889"/>
      <c r="S617" s="2002">
        <f>SUM(S608:S616)</f>
        <v>180500</v>
      </c>
      <c r="T617" s="2002"/>
      <c r="V617" s="2004">
        <f>SUM(V608:V616)</f>
        <v>0</v>
      </c>
      <c r="W617" s="2043"/>
      <c r="X617" s="2043"/>
      <c r="AZ617" s="1937" t="s">
        <v>6699</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0</v>
      </c>
      <c r="H619" s="1871"/>
      <c r="J619" s="2002"/>
      <c r="K619" s="2002"/>
      <c r="L619" s="1889"/>
      <c r="M619" s="2002"/>
      <c r="N619" s="2002"/>
      <c r="P619" s="2002"/>
      <c r="Q619" s="2002"/>
      <c r="S619" s="1871">
        <f>'Part IV-A-Uses of Funds'!S116</f>
        <v>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2279</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6580</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0</v>
      </c>
      <c r="H623" s="2002"/>
      <c r="J623" s="2002"/>
      <c r="K623" s="2002"/>
      <c r="L623" s="1889"/>
      <c r="M623" s="2002"/>
      <c r="N623" s="2002"/>
      <c r="P623" s="2002"/>
      <c r="Q623" s="2002"/>
      <c r="S623" s="2002">
        <f>SUM(S619:S622)</f>
        <v>0</v>
      </c>
      <c r="T623" s="2002"/>
      <c r="V623" s="2004">
        <f>SUM(V619:V622)</f>
        <v>0</v>
      </c>
      <c r="W623" s="2005"/>
      <c r="X623" s="2005"/>
      <c r="AC623" s="1950" t="s">
        <v>4113</v>
      </c>
      <c r="AD623" s="1950" t="s">
        <v>4114</v>
      </c>
      <c r="AE623" s="1950" t="s">
        <v>4119</v>
      </c>
      <c r="AF623" s="1864" t="s">
        <v>4115</v>
      </c>
      <c r="AZ623" s="1924"/>
      <c r="BA623" s="1857">
        <v>120</v>
      </c>
    </row>
    <row r="624" spans="1:53" s="1856" customFormat="1" ht="13.35" customHeight="1">
      <c r="B624" s="1856" t="s">
        <v>270</v>
      </c>
      <c r="D624" s="1989" t="s">
        <v>4116</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4104</v>
      </c>
      <c r="Z624" s="1967"/>
      <c r="AA624" s="2044" t="s">
        <v>4110</v>
      </c>
      <c r="AB624" s="2044" t="s">
        <v>4111</v>
      </c>
      <c r="AC624" s="1950"/>
      <c r="AD624" s="1950"/>
      <c r="AE624" s="1950"/>
      <c r="AF624" s="1864"/>
      <c r="AI624" s="1924"/>
      <c r="AK624" s="2045"/>
      <c r="AZ624" s="1924" t="s">
        <v>6700</v>
      </c>
      <c r="BA624" s="1868">
        <v>121</v>
      </c>
    </row>
    <row r="625" spans="1:53" s="1856" customFormat="1" ht="12.6" customHeight="1">
      <c r="B625" s="1856" t="s">
        <v>1774</v>
      </c>
      <c r="F625" s="1984">
        <f>IF($G$127=0,0,G625/$G$127)</f>
        <v>0</v>
      </c>
      <c r="G625" s="1871">
        <f>'Part IV-A-Uses of Funds'!G122</f>
        <v>967500</v>
      </c>
      <c r="H625" s="1871"/>
      <c r="J625" s="1871">
        <f>'Part IV-A-Uses of Funds'!J122</f>
        <v>967500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1535000</v>
      </c>
      <c r="AI625" s="1924"/>
      <c r="AZ625" s="1924"/>
      <c r="BA625" s="1857">
        <v>122</v>
      </c>
    </row>
    <row r="626" spans="1:53" s="1856" customFormat="1" ht="12.6" customHeight="1">
      <c r="B626" s="1856" t="s">
        <v>3564</v>
      </c>
      <c r="F626" s="2050">
        <f>'Part IV-A-Uses of Funds'!F123</f>
        <v>193500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285000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967500</v>
      </c>
      <c r="H629" s="1871"/>
      <c r="J629" s="1871">
        <f>'Part IV-A-Uses of Funds'!J126</f>
        <v>967500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4112</v>
      </c>
      <c r="E630" s="2054" t="str">
        <f>IF(E624="9%",AF625,IF(E624="4%",AF628,"Enter app type!"))</f>
        <v>Enter app type!</v>
      </c>
      <c r="F630" s="2007" t="s">
        <v>183</v>
      </c>
      <c r="G630" s="2002">
        <f>SUM(G625:G629)</f>
        <v>1935000</v>
      </c>
      <c r="H630" s="2002"/>
      <c r="J630" s="2002">
        <f>SUM(J625:J629)</f>
        <v>1935000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6701</v>
      </c>
      <c r="BA631" s="1857">
        <v>128</v>
      </c>
    </row>
    <row r="632" spans="1:53" s="1856" customFormat="1" ht="12.6" customHeight="1">
      <c r="B632" s="1856" t="s">
        <v>240</v>
      </c>
      <c r="G632" s="1871">
        <f>'Part IV-A-Uses of Funds'!G129</f>
        <v>15000</v>
      </c>
      <c r="H632" s="1871"/>
      <c r="J632" s="2038"/>
      <c r="K632" s="2038"/>
      <c r="L632" s="2038"/>
      <c r="M632" s="2038"/>
      <c r="N632" s="2038"/>
      <c r="P632" s="2038"/>
      <c r="Q632" s="2038"/>
      <c r="S632" s="1871">
        <f>'Part IV-A-Uses of Funds'!S129</f>
        <v>15000</v>
      </c>
      <c r="T632" s="1871"/>
      <c r="V632" s="2004"/>
      <c r="W632" s="2005"/>
      <c r="X632" s="2005"/>
      <c r="Y632" s="1950" t="s">
        <v>4106</v>
      </c>
      <c r="Z632" s="2055"/>
      <c r="AB632" s="2045"/>
      <c r="AC632" s="1924"/>
      <c r="AD632" s="1924"/>
      <c r="AF632" s="1924"/>
      <c r="AG632" s="1924"/>
      <c r="AH632" s="1924"/>
      <c r="AI632" s="1924"/>
      <c r="AJ632" s="1924"/>
      <c r="AK632" s="1924"/>
      <c r="AZ632" s="1937" t="s">
        <v>6702</v>
      </c>
      <c r="BA632" s="1857">
        <v>129</v>
      </c>
    </row>
    <row r="633" spans="1:53" s="1856" customFormat="1" ht="12.6" customHeight="1">
      <c r="B633" s="1856" t="s">
        <v>1474</v>
      </c>
      <c r="F633" s="2010">
        <f>+'Part VI-Revenues &amp; Expenses'!$Q$225*('DCA Underwriting Assumptions'!$Q$127/12)</f>
        <v>111274.75</v>
      </c>
      <c r="G633" s="1871">
        <f>'Part IV-A-Uses of Funds'!G130</f>
        <v>111275</v>
      </c>
      <c r="H633" s="1871"/>
      <c r="J633" s="2056" t="str">
        <f>IF(E633&gt;G633,"WARNING! Rent-Up Reserves proposed is below minimum - add comment.","")</f>
        <v/>
      </c>
      <c r="K633" s="2056"/>
      <c r="L633" s="1889"/>
      <c r="M633" s="2002"/>
      <c r="N633" s="2002"/>
      <c r="P633" s="2002"/>
      <c r="Q633" s="2002"/>
      <c r="S633" s="1871">
        <f>'Part IV-A-Uses of Funds'!S130</f>
        <v>111275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387391.33838523406</v>
      </c>
      <c r="G634" s="1871">
        <f>'Part IV-A-Uses of Funds'!G131</f>
        <v>387391</v>
      </c>
      <c r="H634" s="1871"/>
      <c r="J634" s="2056" t="str">
        <f>IF(E634&gt;G634,"WARNING! ODR proposed is below minimum - add comment.","")</f>
        <v/>
      </c>
      <c r="K634" s="2038"/>
      <c r="L634" s="2038"/>
      <c r="M634" s="2038"/>
      <c r="N634" s="2038"/>
      <c r="P634" s="2038"/>
      <c r="Q634" s="2038"/>
      <c r="S634" s="1871">
        <f>'Part IV-A-Uses of Funds'!S131</f>
        <v>387391</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37380</v>
      </c>
      <c r="H635" s="1871"/>
      <c r="J635" s="2038"/>
      <c r="K635" s="2038"/>
      <c r="L635" s="2038"/>
      <c r="M635" s="2038"/>
      <c r="N635" s="2038"/>
      <c r="P635" s="2038"/>
      <c r="Q635" s="2038"/>
      <c r="S635" s="1871">
        <f>'Part IV-A-Uses of Funds'!S132</f>
        <v>37380</v>
      </c>
      <c r="T635" s="1871"/>
      <c r="V635" s="2004"/>
      <c r="W635" s="2005"/>
      <c r="X635" s="2005"/>
      <c r="AZ635" s="1937" t="s">
        <v>6703</v>
      </c>
      <c r="BA635" s="1857">
        <v>132</v>
      </c>
    </row>
    <row r="636" spans="1:53" s="1856" customFormat="1" ht="12.6" customHeight="1">
      <c r="B636" s="1856" t="s">
        <v>1199</v>
      </c>
      <c r="E636" s="2009" t="s">
        <v>3259</v>
      </c>
      <c r="F636" s="2010">
        <f>IF('Part VI-Revenues &amp; Expenses'!$P$67=0,0,G636/'Part VI-Revenues &amp; Expenses'!$P$67)</f>
        <v>842.69662921348311</v>
      </c>
      <c r="G636" s="1871">
        <f>'Part IV-A-Uses of Funds'!G133</f>
        <v>75000</v>
      </c>
      <c r="H636" s="1871"/>
      <c r="J636" s="1871">
        <f>'Part IV-A-Uses of Funds'!J133</f>
        <v>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6704</v>
      </c>
      <c r="BA636" s="1857">
        <v>133</v>
      </c>
    </row>
    <row r="637" spans="1:53" s="1856" customFormat="1" ht="12.6" customHeight="1">
      <c r="A637" s="2006" t="str">
        <f>IF(AND(G637&gt;0,OR(C637="",C637="&lt;Enter detailed description here; use Comments section if needed&gt;")),"X","")</f>
        <v/>
      </c>
      <c r="B637" s="1864" t="s">
        <v>6580</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626046</v>
      </c>
      <c r="H638" s="2002"/>
      <c r="J638" s="2002">
        <f>SUM(J636:J637)</f>
        <v>75000</v>
      </c>
      <c r="K638" s="2002"/>
      <c r="L638" s="1889"/>
      <c r="M638" s="2002">
        <f>SUM(M636:M637)</f>
        <v>0</v>
      </c>
      <c r="N638" s="2002"/>
      <c r="P638" s="2002">
        <f>SUM(P636:P637)</f>
        <v>0</v>
      </c>
      <c r="Q638" s="2002"/>
      <c r="S638" s="2002">
        <f>SUM(S632:S637)</f>
        <v>551046</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7092</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25000</v>
      </c>
      <c r="H645" s="1871"/>
      <c r="J645" s="1871">
        <f>'Part IV-A-Uses of Funds'!J142</f>
        <v>0</v>
      </c>
      <c r="K645" s="1871"/>
      <c r="L645" s="1889"/>
      <c r="M645" s="1871">
        <f>'Part IV-A-Uses of Funds'!M142</f>
        <v>0</v>
      </c>
      <c r="N645" s="1871"/>
      <c r="P645" s="1871">
        <f>'Part IV-A-Uses of Funds'!P142</f>
        <v>0</v>
      </c>
      <c r="Q645" s="1871"/>
      <c r="S645" s="1871">
        <f>'Part IV-A-Uses of Funds'!S142</f>
        <v>25000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6580</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25000</v>
      </c>
      <c r="H647" s="2002"/>
      <c r="J647" s="2002">
        <f>SUM(J645:J646)</f>
        <v>0</v>
      </c>
      <c r="K647" s="2002"/>
      <c r="L647" s="1889"/>
      <c r="M647" s="2002">
        <f>SUM(M645:M646)</f>
        <v>0</v>
      </c>
      <c r="N647" s="2002"/>
      <c r="P647" s="2002">
        <f>SUM(P645:P646)</f>
        <v>0</v>
      </c>
      <c r="Q647" s="2002"/>
      <c r="S647" s="2002">
        <f>SUM(S645:S646)</f>
        <v>25000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7093</v>
      </c>
      <c r="E649" s="2009"/>
      <c r="F649" s="2062"/>
      <c r="G649" s="2002">
        <f>G521+G527+G531+G539+G544+G549+G558+G576+G589+G595+G606+G617+G623+G630+G638+G647</f>
        <v>23347532</v>
      </c>
      <c r="H649" s="2002"/>
      <c r="J649" s="2002">
        <f>J521+J527+J531+J539+J544+J549+J558+J576+J589+J595+J606+J617+J623+J630+J638+J647</f>
        <v>14173016</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9174516</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7022</v>
      </c>
      <c r="C651" s="2021"/>
      <c r="D651" s="2063">
        <f>IF('Part VI-Revenues &amp; Expenses'!$P$67=0,0,G649/'Part VI-Revenues &amp; Expenses'!$P$67)</f>
        <v>262331.82022471912</v>
      </c>
      <c r="E651" s="2063"/>
      <c r="F651" s="2057" t="s">
        <v>2593</v>
      </c>
      <c r="G651" s="2063">
        <f>IF('Part I-Project Information'!$P$70=0,0,G649/'Part I-Project Information'!$P$70)</f>
        <v>231.9675310481868</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14173016</v>
      </c>
      <c r="K665" s="1982"/>
      <c r="M665" s="1982">
        <f>M649</f>
        <v>0</v>
      </c>
      <c r="N665" s="1982"/>
      <c r="P665" s="1982">
        <f>P649</f>
        <v>0</v>
      </c>
      <c r="Q665" s="1982"/>
      <c r="R665" s="2067" t="s">
        <v>3931</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14173016</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1.3</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18424920.800000001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1953</v>
      </c>
      <c r="J671" s="1982">
        <f>J669*J670</f>
        <v>18424920.800000001</v>
      </c>
      <c r="K671" s="1982"/>
      <c r="M671" s="1982">
        <f>M669*M670</f>
        <v>0</v>
      </c>
      <c r="N671" s="1982"/>
      <c r="P671" s="1982">
        <f>P669*P670</f>
        <v>0</v>
      </c>
      <c r="Q671" s="1982"/>
      <c r="V671" s="2004"/>
      <c r="W671" s="2005"/>
      <c r="X671" s="2005"/>
      <c r="AZ671" s="1937"/>
    </row>
    <row r="672" spans="2:52" s="1856" customFormat="1" ht="14.1" customHeight="1">
      <c r="B672" s="1856" t="s">
        <v>1954</v>
      </c>
      <c r="J672" s="2068">
        <f>'Part IV-A-Uses of Funds'!J169</f>
        <v>0.09</v>
      </c>
      <c r="K672" s="2068"/>
      <c r="M672" s="2068">
        <f>'Part IV-A-Uses of Funds'!M169</f>
        <v>0.04</v>
      </c>
      <c r="N672" s="2068"/>
      <c r="P672" s="2068">
        <f>'Part IV-A-Uses of Funds'!P169</f>
        <v>0.09</v>
      </c>
      <c r="Q672" s="2068"/>
      <c r="V672" s="2004"/>
      <c r="W672" s="2005"/>
      <c r="X672" s="2005"/>
      <c r="AZ672" s="1937"/>
    </row>
    <row r="673" spans="1:52" s="1856" customFormat="1" ht="14.1" customHeight="1">
      <c r="B673" s="1856" t="s">
        <v>2424</v>
      </c>
      <c r="J673" s="1982">
        <f>J671*J672</f>
        <v>1658242.872</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1658242</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4127</v>
      </c>
      <c r="H678" s="2073"/>
      <c r="I678" s="2073"/>
      <c r="M678" s="2074"/>
      <c r="O678" s="1868"/>
      <c r="P678" s="1868"/>
      <c r="Q678" s="1868"/>
      <c r="R678" s="1868"/>
      <c r="S678" s="1868"/>
      <c r="T678" s="1868"/>
      <c r="U678" s="1868"/>
      <c r="V678" s="1868"/>
    </row>
    <row r="679" spans="1:52" s="1937" customFormat="1" ht="15" customHeight="1">
      <c r="B679" s="1937" t="s">
        <v>7094</v>
      </c>
      <c r="J679" s="2075">
        <f>G649</f>
        <v>23347532</v>
      </c>
      <c r="K679" s="2075"/>
      <c r="L679" s="2075"/>
      <c r="V679" s="2076"/>
      <c r="W679" s="2077"/>
    </row>
    <row r="680" spans="1:52" s="1937" customFormat="1" ht="13.5" customHeight="1">
      <c r="B680" s="1937" t="s">
        <v>4131</v>
      </c>
      <c r="J680" s="2075">
        <f>'Part IV-A-Uses of Funds'!$G$92+'Part IV-A-Uses of Funds'!$G$114+SUM('Part IV-A-Uses of Funds'!$G$130:$H$132)</f>
        <v>1007447</v>
      </c>
      <c r="K680" s="2075"/>
      <c r="L680" s="2075"/>
      <c r="V680" s="2076"/>
      <c r="W680" s="2077"/>
    </row>
    <row r="681" spans="1:52" s="1937" customFormat="1" ht="13.5" customHeight="1">
      <c r="B681" s="1935" t="s">
        <v>4130</v>
      </c>
      <c r="J681" s="2075">
        <f>J679-J680</f>
        <v>22340085</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24186153.200000003</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4132</v>
      </c>
      <c r="J685" s="1894">
        <f>'Part IV-A-Uses of Funds'!J182</f>
        <v>23347532</v>
      </c>
      <c r="K685" s="1894"/>
      <c r="L685" s="1894"/>
      <c r="M685" s="2067" t="s">
        <v>4143</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7883652</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15463880</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t="str">
        <f>'Part IV-A-Uses of Funds'!T185</f>
        <v>Yes</v>
      </c>
      <c r="V688" s="2004"/>
      <c r="W688" s="2005"/>
      <c r="X688" s="2005"/>
      <c r="AZ688" s="1937"/>
    </row>
    <row r="689" spans="1:52" s="1856" customFormat="1" ht="14.1" customHeight="1">
      <c r="B689" s="1856" t="s">
        <v>1239</v>
      </c>
      <c r="J689" s="1982">
        <f>J687/10</f>
        <v>1546388</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7023</v>
      </c>
      <c r="J691" s="2082">
        <f>N691+Q691</f>
        <v>1.5</v>
      </c>
      <c r="K691" s="2082"/>
      <c r="L691" s="2082"/>
      <c r="M691" s="1857" t="s">
        <v>1241</v>
      </c>
      <c r="N691" s="2083">
        <f>'Part IV-A-Uses of Funds'!N188</f>
        <v>0.9</v>
      </c>
      <c r="O691" s="2083"/>
      <c r="P691" s="1857" t="s">
        <v>583</v>
      </c>
      <c r="Q691" s="2083">
        <f>'Part IV-A-Uses of Funds'!Q188</f>
        <v>0.6</v>
      </c>
      <c r="R691" s="2083"/>
      <c r="V691" s="2004"/>
      <c r="W691" s="2005"/>
      <c r="X691" s="2005"/>
      <c r="AZ691" s="1937"/>
    </row>
    <row r="692" spans="1:52" s="1856" customFormat="1" ht="14.1" customHeight="1">
      <c r="B692" s="1856" t="s">
        <v>1374</v>
      </c>
      <c r="J692" s="1982">
        <f>ROUNDDOWN(IF(J691=0,"",J689/J691),0)</f>
        <v>1030925</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4128</v>
      </c>
      <c r="H694" s="2059"/>
      <c r="I694" s="2059"/>
      <c r="M694" s="2072"/>
      <c r="Q694" s="1864" t="s">
        <v>6539</v>
      </c>
      <c r="R694" s="1864"/>
      <c r="S694" s="1864" t="str">
        <f>'Part I-Project Information'!$H$105</f>
        <v>Atlanta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7095</v>
      </c>
      <c r="J696" s="1894">
        <f>'Part IV-A-Uses of Funds'!J193</f>
        <v>1000000</v>
      </c>
      <c r="K696" s="1894"/>
      <c r="L696" s="1894"/>
      <c r="M696" s="1865"/>
      <c r="Q696" s="1967" t="s">
        <v>367</v>
      </c>
      <c r="R696" s="1864"/>
      <c r="S696" s="1864" t="str">
        <f>'Part IX Scoring Criteria'!$M$43</f>
        <v>New Supply</v>
      </c>
      <c r="T696" s="1864"/>
      <c r="U696" s="1857" t="str">
        <f>IF(OR(S694="Atlanta Metro", "Other Metro"), "Metro", IF(S694="Rural","Rural",""))</f>
        <v>Metro</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7024</v>
      </c>
      <c r="J698" s="1894">
        <f>'Part IV-A-Uses of Funds'!J195</f>
        <v>1000000</v>
      </c>
      <c r="K698" s="1894"/>
      <c r="L698" s="1894"/>
      <c r="M698" s="1907" t="str">
        <f>IF(J696=0,"",IF(J698&gt;J696,"Request can't exceed Maximum - REVISE (Try Round Down)!",""))</f>
        <v/>
      </c>
      <c r="N698" s="1907"/>
      <c r="O698" s="1907"/>
      <c r="P698" s="1907"/>
      <c r="Q698" s="1967" t="s">
        <v>4116</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7096</v>
      </c>
      <c r="D700" s="1865"/>
      <c r="E700" s="1865"/>
      <c r="F700" s="1858"/>
      <c r="J700" s="1982">
        <f>IF(J698="",0,+MIN(J696,J698))</f>
        <v>1000000</v>
      </c>
      <c r="K700" s="1982"/>
      <c r="L700" s="1982"/>
      <c r="M700" s="1907"/>
      <c r="N700" s="1907"/>
      <c r="O700" s="1907"/>
      <c r="P700" s="1907"/>
      <c r="Q700" s="1864" t="s">
        <v>6540</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The purchase price reflects the pruchase price for the Residential Portion of the building only in the Use of Funds tab.  The purchase price for the building is $8,355,000.  96.7% of the purchase price which is the residential portion of the building equates to $8,079,285.
The hard costs for construction were determined by multiple site visits with the architect, engineer, contractor, developer, and historical consultant.  Based upon these multiple meetings with these parties a scope was developed and costs estimated using actual and historical cost from the contractor and subcontractors.  
These costs included above are the costs allocable to the residential only portion of the building.  Please see Tab 1 for the other underwriting and information on the commerical portion of the building.
The proposed financing structure will utilize Historic Tax Credit Equity; and will be structured using the Master Tenant Lease Pass Through Structure therefore not reducing Eligible Basis.  The equity from the Historic Tax Credits are used in the Non-LIHTC Sources for the GAP calculation.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2021-006 - Wagon Works  -  East Point  -  Fulton,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7025</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7026</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7027</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7028</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2021-006 Wagon Works,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3826</v>
      </c>
      <c r="I794" s="2105" t="str">
        <f>VLOOKUP('Part I-Project Information'!$J$40,'DCA Underwriting Assumptions'!$G$174:$H$333,2)</f>
        <v>Local PHA</v>
      </c>
    </row>
    <row r="795" spans="1:25" s="1852" customFormat="1" ht="6" customHeight="1"/>
    <row r="796" spans="1:25" s="1852" customFormat="1" ht="12.75" customHeight="1">
      <c r="A796" s="2106" t="s">
        <v>7097</v>
      </c>
      <c r="O796" s="1856" t="s">
        <v>7098</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East Point Housing Authority</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43862</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9</v>
      </c>
      <c r="K803" s="2110">
        <f>'Part V-Utility Allowances'!K12</f>
        <v>12</v>
      </c>
      <c r="L803" s="2110">
        <f>'Part V-Utility Allowances'!L12</f>
        <v>14</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9</v>
      </c>
      <c r="K804" s="2110">
        <f>'Part V-Utility Allowances'!K13</f>
        <v>12</v>
      </c>
      <c r="L804" s="2110">
        <f>'Part V-Utility Allowances'!L13</f>
        <v>15</v>
      </c>
      <c r="M804" s="2110">
        <f>'Part V-Utility Allowances'!M13</f>
        <v>0</v>
      </c>
      <c r="O804" s="1818" t="s">
        <v>7029</v>
      </c>
      <c r="P804" s="1818"/>
      <c r="Q804" s="1818"/>
    </row>
    <row r="805" spans="1:25" s="1852" customFormat="1" ht="12" customHeight="1">
      <c r="B805" s="1818" t="s">
        <v>1532</v>
      </c>
      <c r="C805" s="1818"/>
      <c r="D805" s="1976" t="str">
        <f>'Part V-Utility Allowances'!D14</f>
        <v>Natural Gas</v>
      </c>
      <c r="E805" s="1976"/>
      <c r="F805" s="2109" t="str">
        <f>'Part V-Utility Allowances'!F14</f>
        <v>X</v>
      </c>
      <c r="G805" s="2109">
        <f>'Part V-Utility Allowances'!G14</f>
        <v>0</v>
      </c>
      <c r="I805" s="2110">
        <f>'Part V-Utility Allowances'!I14</f>
        <v>0</v>
      </c>
      <c r="J805" s="2110">
        <f>'Part V-Utility Allowances'!J14</f>
        <v>5</v>
      </c>
      <c r="K805" s="2110">
        <f>'Part V-Utility Allowances'!K14</f>
        <v>7</v>
      </c>
      <c r="L805" s="2110">
        <f>'Part V-Utility Allowances'!L14</f>
        <v>8</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8</v>
      </c>
      <c r="K806" s="2110">
        <f>'Part V-Utility Allowances'!K15</f>
        <v>11</v>
      </c>
      <c r="L806" s="2110">
        <f>'Part V-Utility Allowances'!L15</f>
        <v>13</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f>'Part V-Utility Allowances'!G16</f>
        <v>0</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f>'Part V-Utility Allowances'!G17</f>
        <v>0</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0</v>
      </c>
      <c r="J809" s="2110">
        <f>'Part V-Utility Allowances'!J18</f>
        <v>32</v>
      </c>
      <c r="K809" s="2110">
        <f>'Part V-Utility Allowances'!K18</f>
        <v>41</v>
      </c>
      <c r="L809" s="2110">
        <f>'Part V-Utility Allowances'!L18</f>
        <v>50</v>
      </c>
      <c r="M809" s="2110">
        <f>'Part V-Utility Allowances'!M18</f>
        <v>0</v>
      </c>
      <c r="O809" s="1818"/>
      <c r="P809" s="1818"/>
      <c r="Q809" s="1818"/>
    </row>
    <row r="810" spans="1:25" s="1852" customFormat="1" ht="12" customHeight="1">
      <c r="B810" s="1818" t="s">
        <v>1321</v>
      </c>
      <c r="C810" s="1818"/>
      <c r="D810" s="1818" t="s">
        <v>6843</v>
      </c>
      <c r="E810" s="2110" t="str">
        <f>'Part V-Utility Allowances'!E19</f>
        <v>Yes</v>
      </c>
      <c r="F810" s="2109" t="str">
        <f>'Part V-Utility Allowances'!F19</f>
        <v>X</v>
      </c>
      <c r="G810" s="2109">
        <f>'Part V-Utility Allowances'!G19</f>
        <v>0</v>
      </c>
      <c r="I810" s="2110">
        <f>'Part V-Utility Allowances'!I19</f>
        <v>0</v>
      </c>
      <c r="J810" s="2110">
        <f>'Part V-Utility Allowances'!J19</f>
        <v>66</v>
      </c>
      <c r="K810" s="2110">
        <f>'Part V-Utility Allowances'!K19</f>
        <v>84</v>
      </c>
      <c r="L810" s="2110">
        <f>'Part V-Utility Allowances'!L19</f>
        <v>99</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129</v>
      </c>
      <c r="K813" s="2108">
        <f>IF(SUM(K803:K812)=0,0,IF(OR($D803="&lt;&lt;Select Fuel &gt;&gt;",$D804="&lt;&lt;Select Fuel &gt;&gt;",$D805="&lt;&lt;Select Fuel &gt;&gt;"),"Select Fuel",IF($E810="&lt;Select&gt;","Submeter?",SUM(K803:K812))))</f>
        <v>167</v>
      </c>
      <c r="L813" s="2108">
        <f>IF(SUM(L803:L812)=0,0,IF(OR($D803="&lt;&lt;Select Fuel &gt;&gt;",$D804="&lt;&lt;Select Fuel &gt;&gt;",$D805="&lt;&lt;Select Fuel &gt;&gt;"),"Select Fuel",IF($E810="&lt;Select&gt;","Submeter?",SUM(L803:L812))))</f>
        <v>199</v>
      </c>
      <c r="M813" s="2108">
        <f>IF(SUM(M803:M812)=0,0,IF(OR($D803="&lt;&lt;Select Fuel &gt;&gt;",$D804="&lt;&lt;Select Fuel &gt;&gt;",$D805="&lt;&lt;Select Fuel &gt;&gt;"),"Select Fuel",IF($E810="&lt;Select&gt;","Submeter?",SUM(M803:M812))))</f>
        <v>0</v>
      </c>
    </row>
    <row r="814" spans="1:25" s="1852" customFormat="1" ht="7.5" customHeight="1">
      <c r="O814" s="1856" t="s">
        <v>7098</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7029</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6843</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6844</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 xml:space="preserve">The applicant used allowances for Tenant Furnished Utilities posted by East Point Housing Authority as of February 1, 2020 per the 2021 GA DCA QAP guidance.  East Point Housing Authority updates Utility Allowances in February of each year.  Therefore to meet DCA requirements the applicant submitted the 2-1-20 Utility Allowance Schedule which was still in effect as of 1-1-21.  For further information and break-down of utility allowances please Tab 1 in this application.  East Point Housing Authority uses the Attached Multi-level two story including Townhomes Utility Allowance Chart for all multi-level properties.  Please see letter from Michael Spann, Executive Director in Tab 1 for confirmation.  </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2021-006 Wagon Works, ,  County</v>
      </c>
      <c r="T842" s="1818" t="str">
        <f>A842</f>
        <v>PART SIX - PROJECTED REVENUES &amp; EXPENSES  -  2021-006 Wagon Works,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6307</v>
      </c>
      <c r="E844" s="1905"/>
      <c r="F844" s="1905"/>
      <c r="G844" s="1905"/>
      <c r="H844" s="1905"/>
      <c r="I844" s="1905"/>
      <c r="J844" s="1905"/>
      <c r="O844" s="2115" t="s">
        <v>547</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2329</v>
      </c>
      <c r="IG844" s="2488" t="s">
        <v>2330</v>
      </c>
      <c r="IH844" s="2488" t="s">
        <v>2331</v>
      </c>
      <c r="II844" s="2488" t="s">
        <v>2332</v>
      </c>
      <c r="IJ844" s="2488" t="s">
        <v>465</v>
      </c>
      <c r="IK844" s="2488" t="s">
        <v>2329</v>
      </c>
      <c r="IL844" s="2488" t="s">
        <v>2330</v>
      </c>
      <c r="IM844" s="2488" t="s">
        <v>2331</v>
      </c>
      <c r="IN844" s="2488" t="s">
        <v>2332</v>
      </c>
      <c r="IO844" s="2117"/>
      <c r="IP844" s="2117"/>
      <c r="IQ844" s="2117"/>
      <c r="IR844" s="2117"/>
      <c r="IS844" s="2117"/>
      <c r="IT844" s="2117"/>
      <c r="IU844" s="2117"/>
      <c r="IV844" s="2117"/>
      <c r="IW844" s="2117"/>
      <c r="IX844" s="2117"/>
      <c r="IY844" s="2488" t="s">
        <v>465</v>
      </c>
      <c r="IZ844" s="2488" t="s">
        <v>2329</v>
      </c>
      <c r="JA844" s="2488" t="s">
        <v>2330</v>
      </c>
      <c r="JB844" s="2488" t="s">
        <v>2331</v>
      </c>
      <c r="JC844" s="2488" t="s">
        <v>2332</v>
      </c>
      <c r="JD844" s="2488" t="s">
        <v>465</v>
      </c>
      <c r="JE844" s="2488" t="s">
        <v>2329</v>
      </c>
      <c r="JF844" s="2488" t="s">
        <v>2330</v>
      </c>
      <c r="JG844" s="2488" t="s">
        <v>2331</v>
      </c>
      <c r="JH844" s="2488" t="s">
        <v>2332</v>
      </c>
      <c r="JI844" s="2488" t="s">
        <v>465</v>
      </c>
      <c r="JJ844" s="2488" t="s">
        <v>2329</v>
      </c>
      <c r="JK844" s="2488" t="s">
        <v>2330</v>
      </c>
      <c r="JL844" s="2488" t="s">
        <v>2331</v>
      </c>
      <c r="JM844" s="2488" t="s">
        <v>2332</v>
      </c>
      <c r="JN844" s="2488" t="s">
        <v>465</v>
      </c>
      <c r="JO844" s="2488" t="s">
        <v>2329</v>
      </c>
      <c r="JP844" s="2488" t="s">
        <v>2330</v>
      </c>
      <c r="JQ844" s="2488" t="s">
        <v>2331</v>
      </c>
      <c r="JR844" s="2488" t="s">
        <v>2332</v>
      </c>
      <c r="JS844" s="2488" t="s">
        <v>465</v>
      </c>
      <c r="JT844" s="2488" t="s">
        <v>2329</v>
      </c>
      <c r="JU844" s="2488" t="s">
        <v>2330</v>
      </c>
      <c r="JV844" s="2488" t="s">
        <v>2331</v>
      </c>
      <c r="JW844" s="2488" t="s">
        <v>2332</v>
      </c>
      <c r="JX844" s="2488" t="s">
        <v>465</v>
      </c>
      <c r="JY844" s="2488" t="s">
        <v>2329</v>
      </c>
      <c r="JZ844" s="2488" t="s">
        <v>2330</v>
      </c>
      <c r="KA844" s="2488" t="s">
        <v>2331</v>
      </c>
      <c r="KB844" s="2488" t="s">
        <v>2332</v>
      </c>
      <c r="KC844" s="2488" t="s">
        <v>465</v>
      </c>
      <c r="KD844" s="2488" t="s">
        <v>2329</v>
      </c>
      <c r="KE844" s="2488" t="s">
        <v>2330</v>
      </c>
      <c r="KF844" s="2488" t="s">
        <v>2331</v>
      </c>
      <c r="KG844" s="2488" t="s">
        <v>2332</v>
      </c>
      <c r="KH844" s="2488" t="s">
        <v>465</v>
      </c>
      <c r="KI844" s="2488" t="s">
        <v>2329</v>
      </c>
      <c r="KJ844" s="2488" t="s">
        <v>2330</v>
      </c>
      <c r="KK844" s="2488" t="s">
        <v>2331</v>
      </c>
      <c r="KL844" s="2488" t="s">
        <v>2332</v>
      </c>
      <c r="KM844" s="2488" t="s">
        <v>465</v>
      </c>
      <c r="KN844" s="2488" t="s">
        <v>2329</v>
      </c>
      <c r="KO844" s="2488" t="s">
        <v>2330</v>
      </c>
      <c r="KP844" s="2488" t="s">
        <v>2331</v>
      </c>
      <c r="KQ844" s="2488" t="s">
        <v>2332</v>
      </c>
      <c r="KR844" s="2488" t="s">
        <v>465</v>
      </c>
      <c r="KS844" s="2488" t="s">
        <v>2329</v>
      </c>
      <c r="KT844" s="2488" t="s">
        <v>2330</v>
      </c>
      <c r="KU844" s="2488" t="s">
        <v>2331</v>
      </c>
      <c r="KV844" s="2488" t="s">
        <v>2332</v>
      </c>
      <c r="KW844" s="2488" t="s">
        <v>465</v>
      </c>
      <c r="KX844" s="2488" t="s">
        <v>2329</v>
      </c>
      <c r="KY844" s="2488" t="s">
        <v>2330</v>
      </c>
      <c r="KZ844" s="2488" t="s">
        <v>2331</v>
      </c>
      <c r="LA844" s="2488" t="s">
        <v>2332</v>
      </c>
      <c r="LB844" s="2488" t="s">
        <v>465</v>
      </c>
      <c r="LC844" s="2488" t="s">
        <v>2329</v>
      </c>
      <c r="LD844" s="2488" t="s">
        <v>2330</v>
      </c>
      <c r="LE844" s="2488" t="s">
        <v>2331</v>
      </c>
      <c r="LF844" s="2488"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7099</v>
      </c>
      <c r="R845" s="2488"/>
      <c r="X845" s="2114" t="s">
        <v>3835</v>
      </c>
      <c r="Y845" s="2114" t="s">
        <v>3836</v>
      </c>
      <c r="Z845" s="2114" t="s">
        <v>3837</v>
      </c>
      <c r="AA845" s="2114" t="s">
        <v>3838</v>
      </c>
      <c r="AB845" s="2114" t="s">
        <v>3839</v>
      </c>
      <c r="AC845" s="2114" t="s">
        <v>3840</v>
      </c>
      <c r="AD845" s="2114" t="s">
        <v>3841</v>
      </c>
      <c r="AE845" s="2114" t="s">
        <v>3842</v>
      </c>
      <c r="AF845" s="2114" t="s">
        <v>3843</v>
      </c>
      <c r="AG845" s="2114" t="s">
        <v>3844</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3846</v>
      </c>
      <c r="AS845" s="2114" t="s">
        <v>3847</v>
      </c>
      <c r="AT845" s="2114" t="s">
        <v>3848</v>
      </c>
      <c r="AU845" s="2114" t="s">
        <v>3849</v>
      </c>
      <c r="AV845" s="2114" t="s">
        <v>3845</v>
      </c>
      <c r="AW845" s="2114" t="s">
        <v>887</v>
      </c>
      <c r="AX845" s="2114" t="s">
        <v>2210</v>
      </c>
      <c r="AY845" s="2114" t="s">
        <v>2211</v>
      </c>
      <c r="AZ845" s="2114" t="s">
        <v>2212</v>
      </c>
      <c r="BA845" s="2114" t="s">
        <v>2213</v>
      </c>
      <c r="BB845" s="2114" t="s">
        <v>3850</v>
      </c>
      <c r="BC845" s="2114" t="s">
        <v>3851</v>
      </c>
      <c r="BD845" s="2114" t="s">
        <v>3852</v>
      </c>
      <c r="BE845" s="2114" t="s">
        <v>3853</v>
      </c>
      <c r="BF845" s="2114" t="s">
        <v>3854</v>
      </c>
      <c r="BG845" s="2114" t="s">
        <v>122</v>
      </c>
      <c r="BH845" s="2114" t="s">
        <v>2214</v>
      </c>
      <c r="BI845" s="2114" t="s">
        <v>2215</v>
      </c>
      <c r="BJ845" s="2114" t="s">
        <v>2216</v>
      </c>
      <c r="BK845" s="2114" t="s">
        <v>1106</v>
      </c>
      <c r="BL845" s="2114" t="s">
        <v>3855</v>
      </c>
      <c r="BM845" s="2114" t="s">
        <v>3856</v>
      </c>
      <c r="BN845" s="2114" t="s">
        <v>3857</v>
      </c>
      <c r="BO845" s="2114" t="s">
        <v>3858</v>
      </c>
      <c r="BP845" s="2114" t="s">
        <v>3859</v>
      </c>
      <c r="BQ845" s="2114" t="s">
        <v>529</v>
      </c>
      <c r="BR845" s="2114" t="s">
        <v>530</v>
      </c>
      <c r="BS845" s="2114" t="s">
        <v>548</v>
      </c>
      <c r="BT845" s="2114" t="s">
        <v>549</v>
      </c>
      <c r="BU845" s="2114" t="s">
        <v>550</v>
      </c>
      <c r="BV845" s="2114" t="s">
        <v>3860</v>
      </c>
      <c r="BW845" s="2114" t="s">
        <v>3861</v>
      </c>
      <c r="BX845" s="2114" t="s">
        <v>3862</v>
      </c>
      <c r="BY845" s="2114" t="s">
        <v>3863</v>
      </c>
      <c r="BZ845" s="2114" t="s">
        <v>3864</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3870</v>
      </c>
      <c r="CL845" s="2114" t="s">
        <v>3871</v>
      </c>
      <c r="CM845" s="2114" t="s">
        <v>3872</v>
      </c>
      <c r="CN845" s="2114" t="s">
        <v>3873</v>
      </c>
      <c r="CO845" s="2114" t="s">
        <v>3874</v>
      </c>
      <c r="CP845" s="2114" t="s">
        <v>3865</v>
      </c>
      <c r="CQ845" s="2114" t="s">
        <v>3866</v>
      </c>
      <c r="CR845" s="2114" t="s">
        <v>3867</v>
      </c>
      <c r="CS845" s="2114" t="s">
        <v>3868</v>
      </c>
      <c r="CT845" s="2114" t="s">
        <v>3869</v>
      </c>
      <c r="CU845" s="2114" t="s">
        <v>3875</v>
      </c>
      <c r="CV845" s="2114" t="s">
        <v>3876</v>
      </c>
      <c r="CW845" s="2114" t="s">
        <v>3877</v>
      </c>
      <c r="CX845" s="2114" t="s">
        <v>3878</v>
      </c>
      <c r="CY845" s="2114" t="s">
        <v>3879</v>
      </c>
      <c r="CZ845" s="2114" t="s">
        <v>474</v>
      </c>
      <c r="DA845" s="2114" t="s">
        <v>475</v>
      </c>
      <c r="DB845" s="2114" t="s">
        <v>476</v>
      </c>
      <c r="DC845" s="2114" t="s">
        <v>477</v>
      </c>
      <c r="DD845" s="2114" t="s">
        <v>478</v>
      </c>
      <c r="DE845" s="2114" t="s">
        <v>3880</v>
      </c>
      <c r="DF845" s="2114" t="s">
        <v>3881</v>
      </c>
      <c r="DG845" s="2114" t="s">
        <v>3882</v>
      </c>
      <c r="DH845" s="2114" t="s">
        <v>3883</v>
      </c>
      <c r="DI845" s="2114" t="s">
        <v>3884</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3885</v>
      </c>
      <c r="DU845" s="2114" t="s">
        <v>3886</v>
      </c>
      <c r="DV845" s="2114" t="s">
        <v>3887</v>
      </c>
      <c r="DW845" s="2114" t="s">
        <v>3888</v>
      </c>
      <c r="DX845" s="2114" t="s">
        <v>3889</v>
      </c>
      <c r="DY845" s="2114" t="s">
        <v>3890</v>
      </c>
      <c r="DZ845" s="2114" t="s">
        <v>3891</v>
      </c>
      <c r="EA845" s="2114" t="s">
        <v>3892</v>
      </c>
      <c r="EB845" s="2114" t="s">
        <v>3893</v>
      </c>
      <c r="EC845" s="2114" t="s">
        <v>3894</v>
      </c>
      <c r="ED845" s="2114" t="s">
        <v>2319</v>
      </c>
      <c r="EE845" s="2114" t="s">
        <v>2320</v>
      </c>
      <c r="EF845" s="2114" t="s">
        <v>2321</v>
      </c>
      <c r="EG845" s="2114" t="s">
        <v>2322</v>
      </c>
      <c r="EH845" s="2114" t="s">
        <v>2323</v>
      </c>
      <c r="EI845" s="2114" t="s">
        <v>3895</v>
      </c>
      <c r="EJ845" s="2114" t="s">
        <v>3896</v>
      </c>
      <c r="EK845" s="2114" t="s">
        <v>3897</v>
      </c>
      <c r="EL845" s="2114" t="s">
        <v>3898</v>
      </c>
      <c r="EM845" s="2114" t="s">
        <v>3899</v>
      </c>
      <c r="EN845" s="2114" t="s">
        <v>3900</v>
      </c>
      <c r="EO845" s="2114" t="s">
        <v>3901</v>
      </c>
      <c r="EP845" s="2114" t="s">
        <v>3902</v>
      </c>
      <c r="EQ845" s="2114" t="s">
        <v>3903</v>
      </c>
      <c r="ER845" s="2114" t="s">
        <v>3904</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3905</v>
      </c>
      <c r="FD845" s="2114" t="s">
        <v>3906</v>
      </c>
      <c r="FE845" s="2114" t="s">
        <v>3907</v>
      </c>
      <c r="FF845" s="2114" t="s">
        <v>3908</v>
      </c>
      <c r="FG845" s="2114" t="s">
        <v>3909</v>
      </c>
      <c r="FH845" s="2114" t="s">
        <v>124</v>
      </c>
      <c r="FI845" s="2114" t="s">
        <v>877</v>
      </c>
      <c r="FJ845" s="2114" t="s">
        <v>878</v>
      </c>
      <c r="FK845" s="2114" t="s">
        <v>879</v>
      </c>
      <c r="FL845" s="2114" t="s">
        <v>880</v>
      </c>
      <c r="FM845" s="2114" t="s">
        <v>3910</v>
      </c>
      <c r="FN845" s="2114" t="s">
        <v>3911</v>
      </c>
      <c r="FO845" s="2114" t="s">
        <v>3912</v>
      </c>
      <c r="FP845" s="2114" t="s">
        <v>3913</v>
      </c>
      <c r="FQ845" s="2114" t="s">
        <v>3914</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7100</v>
      </c>
      <c r="D846" s="1905"/>
      <c r="E846" s="1905"/>
      <c r="F846" s="1905"/>
      <c r="G846" s="2110" t="str">
        <f>'Part VI-Revenues &amp; Expenses'!G6</f>
        <v>&lt;Select&gt;</v>
      </c>
      <c r="H846" s="2119" t="s">
        <v>6310</v>
      </c>
      <c r="I846" s="2119"/>
      <c r="J846" s="2119"/>
      <c r="K846" s="2117" t="s">
        <v>3257</v>
      </c>
      <c r="L846" s="2120" t="str">
        <f>'Part I-Project Information'!$B$7</f>
        <v>2021 Core Application</v>
      </c>
      <c r="M846" s="2120"/>
      <c r="N846" s="2120"/>
      <c r="O846" s="2121" t="s">
        <v>7030</v>
      </c>
      <c r="P846" s="2122">
        <f>'Part VI-Revenues &amp; Expenses'!P6</f>
        <v>82700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6585</v>
      </c>
      <c r="MQ846" s="2114" t="s">
        <v>6586</v>
      </c>
      <c r="MR846" s="2114" t="s">
        <v>6587</v>
      </c>
      <c r="MS846" s="2114" t="s">
        <v>6588</v>
      </c>
      <c r="MT846" s="2114" t="s">
        <v>6589</v>
      </c>
      <c r="NP846" s="2113"/>
    </row>
    <row r="847" spans="1:380" s="1818" customFormat="1" ht="12.6" customHeight="1">
      <c r="A847" s="2118"/>
      <c r="B847" s="2123" t="s">
        <v>6309</v>
      </c>
      <c r="G847" s="2110" t="str">
        <f>'Part VI-Revenues &amp; Expenses'!G7</f>
        <v>&lt;Select&gt;</v>
      </c>
      <c r="I847" s="1719" t="s">
        <v>4277</v>
      </c>
      <c r="J847" s="2117" t="s">
        <v>765</v>
      </c>
      <c r="K847" s="2117" t="s">
        <v>3307</v>
      </c>
      <c r="L847" s="2120"/>
      <c r="M847" s="2120"/>
      <c r="N847" s="2120"/>
      <c r="O847" s="2124" t="s">
        <v>6285</v>
      </c>
      <c r="P847" s="2125">
        <f>'Part VI-Revenues &amp; Expenses'!P7</f>
        <v>44197</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3917</v>
      </c>
      <c r="I848" s="1719"/>
      <c r="J848" s="2117" t="s">
        <v>766</v>
      </c>
      <c r="K848" s="2117" t="s">
        <v>3308</v>
      </c>
      <c r="N848" s="2126" t="s">
        <v>6805</v>
      </c>
      <c r="O848" s="1942" t="str">
        <f>'Part VI-Revenues &amp; Expenses'!O8</f>
        <v>Novogradac</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2329</v>
      </c>
      <c r="JA848" s="2488" t="s">
        <v>2330</v>
      </c>
      <c r="JB848" s="2488" t="s">
        <v>2331</v>
      </c>
      <c r="JC848" s="2488" t="s">
        <v>2332</v>
      </c>
      <c r="JD848" s="2488" t="s">
        <v>539</v>
      </c>
      <c r="JE848" s="2488" t="s">
        <v>2329</v>
      </c>
      <c r="JF848" s="2488" t="s">
        <v>2330</v>
      </c>
      <c r="JG848" s="2488" t="s">
        <v>2331</v>
      </c>
      <c r="JH848" s="2488" t="s">
        <v>2332</v>
      </c>
      <c r="JI848" s="2488" t="s">
        <v>539</v>
      </c>
      <c r="JJ848" s="2488" t="s">
        <v>2329</v>
      </c>
      <c r="JK848" s="2488" t="s">
        <v>2330</v>
      </c>
      <c r="JL848" s="2488" t="s">
        <v>2331</v>
      </c>
      <c r="JM848" s="2488" t="s">
        <v>2332</v>
      </c>
      <c r="JN848" s="2488" t="s">
        <v>539</v>
      </c>
      <c r="JO848" s="2488" t="s">
        <v>2329</v>
      </c>
      <c r="JP848" s="2488" t="s">
        <v>2330</v>
      </c>
      <c r="JQ848" s="2488" t="s">
        <v>2331</v>
      </c>
      <c r="JR848" s="2488" t="s">
        <v>2332</v>
      </c>
      <c r="JS848" s="2488" t="s">
        <v>539</v>
      </c>
      <c r="JT848" s="2488" t="s">
        <v>2329</v>
      </c>
      <c r="JU848" s="2488" t="s">
        <v>2330</v>
      </c>
      <c r="JV848" s="2488" t="s">
        <v>2331</v>
      </c>
      <c r="JW848" s="2488" t="s">
        <v>2332</v>
      </c>
      <c r="JX848" s="2488" t="s">
        <v>539</v>
      </c>
      <c r="JY848" s="2488" t="s">
        <v>2329</v>
      </c>
      <c r="JZ848" s="2488" t="s">
        <v>2330</v>
      </c>
      <c r="KA848" s="2488" t="s">
        <v>2331</v>
      </c>
      <c r="KB848" s="2488" t="s">
        <v>2332</v>
      </c>
      <c r="KC848" s="2488" t="s">
        <v>539</v>
      </c>
      <c r="KD848" s="2488" t="s">
        <v>2329</v>
      </c>
      <c r="KE848" s="2488" t="s">
        <v>2330</v>
      </c>
      <c r="KF848" s="2488" t="s">
        <v>2331</v>
      </c>
      <c r="KG848" s="2488" t="s">
        <v>2332</v>
      </c>
      <c r="KH848" s="2488" t="s">
        <v>539</v>
      </c>
      <c r="KI848" s="2488" t="s">
        <v>2329</v>
      </c>
      <c r="KJ848" s="2488" t="s">
        <v>2330</v>
      </c>
      <c r="KK848" s="2488" t="s">
        <v>2331</v>
      </c>
      <c r="KL848" s="2488" t="s">
        <v>2332</v>
      </c>
      <c r="KM848" s="2488" t="s">
        <v>539</v>
      </c>
      <c r="KN848" s="2488" t="s">
        <v>2329</v>
      </c>
      <c r="KO848" s="2488" t="s">
        <v>2330</v>
      </c>
      <c r="KP848" s="2488" t="s">
        <v>2331</v>
      </c>
      <c r="KQ848" s="2488" t="s">
        <v>2332</v>
      </c>
      <c r="KR848" s="2488" t="s">
        <v>539</v>
      </c>
      <c r="KS848" s="2488" t="s">
        <v>2329</v>
      </c>
      <c r="KT848" s="2488" t="s">
        <v>2330</v>
      </c>
      <c r="KU848" s="2488" t="s">
        <v>2331</v>
      </c>
      <c r="KV848" s="2488" t="s">
        <v>2332</v>
      </c>
      <c r="KW848" s="2488" t="s">
        <v>539</v>
      </c>
      <c r="KX848" s="2488" t="s">
        <v>2329</v>
      </c>
      <c r="KY848" s="2488" t="s">
        <v>2330</v>
      </c>
      <c r="KZ848" s="2488" t="s">
        <v>2331</v>
      </c>
      <c r="LA848" s="2488" t="s">
        <v>2332</v>
      </c>
      <c r="LB848" s="2488" t="s">
        <v>539</v>
      </c>
      <c r="LC848" s="2488" t="s">
        <v>2329</v>
      </c>
      <c r="LD848" s="2488" t="s">
        <v>2330</v>
      </c>
      <c r="LE848" s="2488" t="s">
        <v>2331</v>
      </c>
      <c r="LF848" s="2488"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3918</v>
      </c>
      <c r="C849" s="2117" t="s">
        <v>164</v>
      </c>
      <c r="D849" s="2117" t="s">
        <v>519</v>
      </c>
      <c r="E849" s="2117" t="s">
        <v>1417</v>
      </c>
      <c r="F849" s="2117" t="s">
        <v>1417</v>
      </c>
      <c r="G849" s="1719" t="s">
        <v>6305</v>
      </c>
      <c r="H849" s="2488" t="s">
        <v>3441</v>
      </c>
      <c r="I849" s="1719"/>
      <c r="J849" s="2127" t="s">
        <v>6296</v>
      </c>
      <c r="K849" s="2117" t="s">
        <v>7101</v>
      </c>
      <c r="L849" s="1719" t="s">
        <v>138</v>
      </c>
      <c r="M849" s="1719"/>
      <c r="N849" s="2117" t="s">
        <v>2262</v>
      </c>
      <c r="O849" s="2117" t="s">
        <v>6808</v>
      </c>
      <c r="P849" s="2114" t="s">
        <v>7102</v>
      </c>
      <c r="R849" s="2117" t="s">
        <v>2543</v>
      </c>
      <c r="S849" s="2117" t="s">
        <v>2545</v>
      </c>
      <c r="T849" s="2117"/>
      <c r="HZ849" s="2114" t="s">
        <v>1405</v>
      </c>
      <c r="IA849" s="2488" t="s">
        <v>2329</v>
      </c>
      <c r="IB849" s="2488" t="s">
        <v>2330</v>
      </c>
      <c r="IC849" s="2488" t="s">
        <v>2331</v>
      </c>
      <c r="ID849" s="2488"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488" t="s">
        <v>539</v>
      </c>
      <c r="IP849" s="2488" t="s">
        <v>2329</v>
      </c>
      <c r="IQ849" s="2488" t="s">
        <v>2330</v>
      </c>
      <c r="IR849" s="2488" t="s">
        <v>2331</v>
      </c>
      <c r="IS849" s="2488" t="s">
        <v>2332</v>
      </c>
      <c r="IT849" s="2488" t="s">
        <v>539</v>
      </c>
      <c r="IU849" s="2488" t="s">
        <v>2329</v>
      </c>
      <c r="IV849" s="2488" t="s">
        <v>2330</v>
      </c>
      <c r="IW849" s="2488" t="s">
        <v>2331</v>
      </c>
      <c r="IX849" s="2488" t="s">
        <v>2332</v>
      </c>
      <c r="IY849" s="2114" t="s">
        <v>6590</v>
      </c>
      <c r="IZ849" s="2114" t="s">
        <v>6590</v>
      </c>
      <c r="JA849" s="2114" t="s">
        <v>6590</v>
      </c>
      <c r="JB849" s="2114" t="s">
        <v>6590</v>
      </c>
      <c r="JC849" s="2114" t="s">
        <v>6590</v>
      </c>
      <c r="JD849" s="2114" t="s">
        <v>6591</v>
      </c>
      <c r="JE849" s="2114" t="s">
        <v>6591</v>
      </c>
      <c r="JF849" s="2114" t="s">
        <v>6591</v>
      </c>
      <c r="JG849" s="2114" t="s">
        <v>6591</v>
      </c>
      <c r="JH849" s="2114" t="s">
        <v>6591</v>
      </c>
      <c r="JI849" s="2114" t="s">
        <v>6593</v>
      </c>
      <c r="JJ849" s="2114" t="s">
        <v>6593</v>
      </c>
      <c r="JK849" s="2114" t="s">
        <v>6593</v>
      </c>
      <c r="JL849" s="2114" t="s">
        <v>6593</v>
      </c>
      <c r="JM849" s="2114" t="s">
        <v>6593</v>
      </c>
      <c r="JN849" s="2114" t="s">
        <v>6594</v>
      </c>
      <c r="JO849" s="2114" t="s">
        <v>6594</v>
      </c>
      <c r="JP849" s="2114" t="s">
        <v>6594</v>
      </c>
      <c r="JQ849" s="2114" t="s">
        <v>6594</v>
      </c>
      <c r="JR849" s="2114" t="s">
        <v>6594</v>
      </c>
      <c r="JS849" s="2114" t="s">
        <v>6595</v>
      </c>
      <c r="JT849" s="2114" t="s">
        <v>6595</v>
      </c>
      <c r="JU849" s="2114" t="s">
        <v>6595</v>
      </c>
      <c r="JV849" s="2114" t="s">
        <v>6595</v>
      </c>
      <c r="JW849" s="2114" t="s">
        <v>6595</v>
      </c>
      <c r="JX849" s="2114" t="s">
        <v>6809</v>
      </c>
      <c r="JY849" s="2114" t="s">
        <v>6809</v>
      </c>
      <c r="JZ849" s="2114" t="s">
        <v>6809</v>
      </c>
      <c r="KA849" s="2114" t="s">
        <v>6809</v>
      </c>
      <c r="KB849" s="2114" t="s">
        <v>6809</v>
      </c>
      <c r="KC849" s="2114" t="s">
        <v>7031</v>
      </c>
      <c r="KD849" s="2114" t="s">
        <v>7031</v>
      </c>
      <c r="KE849" s="2114" t="s">
        <v>7031</v>
      </c>
      <c r="KF849" s="2114" t="s">
        <v>7031</v>
      </c>
      <c r="KG849" s="2114" t="s">
        <v>7031</v>
      </c>
      <c r="KH849" s="2114" t="s">
        <v>7032</v>
      </c>
      <c r="KI849" s="2114" t="s">
        <v>7032</v>
      </c>
      <c r="KJ849" s="2114" t="s">
        <v>7032</v>
      </c>
      <c r="KK849" s="2114" t="s">
        <v>7032</v>
      </c>
      <c r="KL849" s="2114" t="s">
        <v>7032</v>
      </c>
      <c r="KM849" s="2114" t="s">
        <v>6597</v>
      </c>
      <c r="KN849" s="2114" t="s">
        <v>6597</v>
      </c>
      <c r="KO849" s="2114" t="s">
        <v>6597</v>
      </c>
      <c r="KP849" s="2114" t="s">
        <v>6597</v>
      </c>
      <c r="KQ849" s="2114" t="s">
        <v>6597</v>
      </c>
      <c r="KR849" s="2114" t="s">
        <v>6810</v>
      </c>
      <c r="KS849" s="2114" t="s">
        <v>6810</v>
      </c>
      <c r="KT849" s="2114" t="s">
        <v>6810</v>
      </c>
      <c r="KU849" s="2114" t="s">
        <v>6810</v>
      </c>
      <c r="KV849" s="2114" t="s">
        <v>6810</v>
      </c>
      <c r="KW849" s="2114" t="s">
        <v>7033</v>
      </c>
      <c r="KX849" s="2114" t="s">
        <v>7033</v>
      </c>
      <c r="KY849" s="2114" t="s">
        <v>7033</v>
      </c>
      <c r="KZ849" s="2114" t="s">
        <v>7033</v>
      </c>
      <c r="LA849" s="2114" t="s">
        <v>7033</v>
      </c>
      <c r="LB849" s="2114" t="s">
        <v>7034</v>
      </c>
      <c r="LC849" s="2114" t="s">
        <v>7034</v>
      </c>
      <c r="LD849" s="2114" t="s">
        <v>7034</v>
      </c>
      <c r="LE849" s="2114" t="s">
        <v>7034</v>
      </c>
      <c r="LF849" s="2114" t="s">
        <v>7034</v>
      </c>
      <c r="MK849" s="1719"/>
      <c r="ML849" s="1719"/>
      <c r="MM849" s="1719"/>
      <c r="MN849" s="1719"/>
      <c r="MO849" s="1719"/>
      <c r="NP849" s="1926"/>
    </row>
    <row r="850" spans="1:380" s="2114" customFormat="1" ht="11.25" customHeight="1">
      <c r="A850" s="2118"/>
      <c r="B850" s="2128" t="s">
        <v>4125</v>
      </c>
      <c r="C850" s="2117" t="s">
        <v>163</v>
      </c>
      <c r="D850" s="2117" t="s">
        <v>165</v>
      </c>
      <c r="E850" s="2117" t="s">
        <v>1418</v>
      </c>
      <c r="F850" s="2117" t="s">
        <v>1231</v>
      </c>
      <c r="G850" s="1719"/>
      <c r="H850" s="2117" t="s">
        <v>6306</v>
      </c>
      <c r="I850" s="1719"/>
      <c r="J850" s="2127"/>
      <c r="K850" s="2129" t="s">
        <v>338</v>
      </c>
      <c r="L850" s="2117" t="s">
        <v>1469</v>
      </c>
      <c r="M850" s="2117" t="s">
        <v>513</v>
      </c>
      <c r="N850" s="2117" t="s">
        <v>1417</v>
      </c>
      <c r="O850" s="2117" t="s">
        <v>6825</v>
      </c>
      <c r="R850" s="2117" t="s">
        <v>1419</v>
      </c>
      <c r="S850" s="2117" t="s">
        <v>2546</v>
      </c>
      <c r="T850" s="1852" t="s">
        <v>1760</v>
      </c>
      <c r="W850" s="1852"/>
      <c r="IA850" s="2488" t="s">
        <v>2382</v>
      </c>
      <c r="IB850" s="2488" t="s">
        <v>2382</v>
      </c>
      <c r="IC850" s="2488" t="s">
        <v>2382</v>
      </c>
      <c r="ID850" s="2488" t="s">
        <v>2382</v>
      </c>
      <c r="IO850" s="2488" t="s">
        <v>2384</v>
      </c>
      <c r="IP850" s="2488" t="s">
        <v>2384</v>
      </c>
      <c r="IQ850" s="2488" t="s">
        <v>2384</v>
      </c>
      <c r="IR850" s="2488" t="s">
        <v>2384</v>
      </c>
      <c r="IS850" s="2488" t="s">
        <v>2384</v>
      </c>
      <c r="IT850" s="2488" t="s">
        <v>3121</v>
      </c>
      <c r="IU850" s="2488" t="s">
        <v>3121</v>
      </c>
      <c r="IV850" s="2488" t="s">
        <v>3121</v>
      </c>
      <c r="IW850" s="2488" t="s">
        <v>3121</v>
      </c>
      <c r="IX850" s="2488" t="s">
        <v>3121</v>
      </c>
      <c r="MK850" s="1719"/>
      <c r="ML850" s="1719"/>
      <c r="MM850" s="1719"/>
      <c r="MN850" s="1719"/>
      <c r="MO850" s="1719"/>
      <c r="NP850" s="1926"/>
    </row>
    <row r="851" spans="1:380" s="1852" customFormat="1" ht="14.1"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6717</v>
      </c>
    </row>
    <row r="852" spans="1:380" s="1852" customFormat="1" ht="14.1"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6718</v>
      </c>
    </row>
    <row r="853" spans="1:380" s="1852" customFormat="1" ht="14.1"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6719</v>
      </c>
    </row>
    <row r="854" spans="1:380" s="1852" customFormat="1" ht="14.1"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6720</v>
      </c>
    </row>
    <row r="855" spans="1:380" s="1852" customFormat="1" ht="14.1"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6721</v>
      </c>
    </row>
    <row r="856" spans="1:380" s="1852" customFormat="1" ht="14.1"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6722</v>
      </c>
    </row>
    <row r="857" spans="1:380" s="1852" customFormat="1" ht="14.1"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6723</v>
      </c>
    </row>
    <row r="858" spans="1:380" s="1852" customFormat="1" ht="14.1" customHeight="1">
      <c r="A858" s="2108" t="str">
        <f t="shared" si="327"/>
        <v/>
      </c>
      <c r="B858" s="2130">
        <f>'Part VI-Revenues &amp; Expenses'!B18</f>
        <v>50</v>
      </c>
      <c r="C858" s="2131">
        <f>'Part VI-Revenues &amp; Expenses'!C18</f>
        <v>1</v>
      </c>
      <c r="D858" s="2132">
        <f>'Part VI-Revenues &amp; Expenses'!D18</f>
        <v>1</v>
      </c>
      <c r="E858" s="2133">
        <f>'Part VI-Revenues &amp; Expenses'!E18</f>
        <v>4</v>
      </c>
      <c r="F858" s="2133">
        <f>'Part VI-Revenues &amp; Expenses'!F18</f>
        <v>750</v>
      </c>
      <c r="G858" s="2133">
        <f>'Part VI-Revenues &amp; Expenses'!G18</f>
        <v>775</v>
      </c>
      <c r="H858" s="2133">
        <f>'Part VI-Revenues &amp; Expenses'!H18</f>
        <v>753</v>
      </c>
      <c r="I858" s="2133">
        <f>'Part VI-Revenues &amp; Expenses'!I18</f>
        <v>0</v>
      </c>
      <c r="J858" s="2133">
        <f>'Part VI-Revenues &amp; Expenses'!J18</f>
        <v>129</v>
      </c>
      <c r="K858" s="2134">
        <f>'Part VI-Revenues &amp; Expenses'!K18</f>
        <v>0</v>
      </c>
      <c r="L858" s="2135">
        <f t="shared" si="0"/>
        <v>624</v>
      </c>
      <c r="M858" s="2135">
        <f t="shared" si="1"/>
        <v>2496</v>
      </c>
      <c r="N858" s="1916" t="str">
        <f>'Part VI-Revenues &amp; Expenses'!N18</f>
        <v>No</v>
      </c>
      <c r="O858" s="2136" t="str">
        <f>'Part VI-Revenues &amp; Expenses'!O18</f>
        <v>Low-Rise Elevator</v>
      </c>
      <c r="P858" s="1916" t="str">
        <f>'Part VI-Revenues &amp; Expenses'!P18</f>
        <v>New Construction</v>
      </c>
      <c r="Q858" s="2137" t="str">
        <f>'Part VI-Revenues &amp; Expenses'!Q18</f>
        <v>Yes</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4</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3000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4</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4</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f t="shared" si="273"/>
        <v>4</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4</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6724</v>
      </c>
    </row>
    <row r="859" spans="1:380" s="1852" customFormat="1" ht="14.1" customHeight="1">
      <c r="A859" s="2108" t="str">
        <f t="shared" si="327"/>
        <v/>
      </c>
      <c r="B859" s="2130">
        <f>'Part VI-Revenues &amp; Expenses'!B19</f>
        <v>50</v>
      </c>
      <c r="C859" s="2131">
        <f>'Part VI-Revenues &amp; Expenses'!C19</f>
        <v>2</v>
      </c>
      <c r="D859" s="2132">
        <f>'Part VI-Revenues &amp; Expenses'!D19</f>
        <v>1</v>
      </c>
      <c r="E859" s="2133">
        <f>'Part VI-Revenues &amp; Expenses'!E19</f>
        <v>21</v>
      </c>
      <c r="F859" s="2133">
        <f>'Part VI-Revenues &amp; Expenses'!F19</f>
        <v>950</v>
      </c>
      <c r="G859" s="2133">
        <f>'Part VI-Revenues &amp; Expenses'!G19</f>
        <v>931</v>
      </c>
      <c r="H859" s="2133">
        <f>'Part VI-Revenues &amp; Expenses'!H19</f>
        <v>903</v>
      </c>
      <c r="I859" s="2133">
        <f>'Part VI-Revenues &amp; Expenses'!I19</f>
        <v>0</v>
      </c>
      <c r="J859" s="2133">
        <f>'Part VI-Revenues &amp; Expenses'!J19</f>
        <v>167</v>
      </c>
      <c r="K859" s="2134">
        <f>'Part VI-Revenues &amp; Expenses'!K19</f>
        <v>0</v>
      </c>
      <c r="L859" s="2135">
        <f t="shared" si="0"/>
        <v>736</v>
      </c>
      <c r="M859" s="2135">
        <f t="shared" si="1"/>
        <v>15456</v>
      </c>
      <c r="N859" s="1916" t="str">
        <f>'Part VI-Revenues &amp; Expenses'!N19</f>
        <v>No</v>
      </c>
      <c r="O859" s="2136" t="str">
        <f>'Part VI-Revenues &amp; Expenses'!O19</f>
        <v>Low-Rise Elevator</v>
      </c>
      <c r="P859" s="1916" t="str">
        <f>'Part VI-Revenues &amp; Expenses'!P19</f>
        <v>New Construction</v>
      </c>
      <c r="Q859" s="2137" t="str">
        <f>'Part VI-Revenues &amp; Expenses'!Q19</f>
        <v>Yes</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21</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19950</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21</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21</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f t="shared" si="274"/>
        <v>21</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21</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6725</v>
      </c>
    </row>
    <row r="860" spans="1:380" s="1852" customFormat="1" ht="14.1" customHeight="1">
      <c r="A860" s="2108" t="str">
        <f t="shared" si="327"/>
        <v/>
      </c>
      <c r="B860" s="2130">
        <f>'Part VI-Revenues &amp; Expenses'!B20</f>
        <v>50</v>
      </c>
      <c r="C860" s="2131">
        <f>'Part VI-Revenues &amp; Expenses'!C20</f>
        <v>3</v>
      </c>
      <c r="D860" s="2132">
        <f>'Part VI-Revenues &amp; Expenses'!D20</f>
        <v>2</v>
      </c>
      <c r="E860" s="2133">
        <f>'Part VI-Revenues &amp; Expenses'!E20</f>
        <v>2</v>
      </c>
      <c r="F860" s="2133">
        <f>'Part VI-Revenues &amp; Expenses'!F20</f>
        <v>1150</v>
      </c>
      <c r="G860" s="2133">
        <f>'Part VI-Revenues &amp; Expenses'!G20</f>
        <v>1075</v>
      </c>
      <c r="H860" s="2133">
        <f>'Part VI-Revenues &amp; Expenses'!H20</f>
        <v>1040</v>
      </c>
      <c r="I860" s="2133">
        <f>'Part VI-Revenues &amp; Expenses'!I20</f>
        <v>0</v>
      </c>
      <c r="J860" s="2133">
        <f>'Part VI-Revenues &amp; Expenses'!J20</f>
        <v>199</v>
      </c>
      <c r="K860" s="2134">
        <f>'Part VI-Revenues &amp; Expenses'!K20</f>
        <v>0</v>
      </c>
      <c r="L860" s="2135">
        <f t="shared" si="0"/>
        <v>841</v>
      </c>
      <c r="M860" s="2135">
        <f t="shared" si="1"/>
        <v>1682</v>
      </c>
      <c r="N860" s="1916" t="str">
        <f>'Part VI-Revenues &amp; Expenses'!N20</f>
        <v>No</v>
      </c>
      <c r="O860" s="2136" t="str">
        <f>'Part VI-Revenues &amp; Expenses'!O20</f>
        <v>Low-Rise Elevator</v>
      </c>
      <c r="P860" s="1916" t="str">
        <f>'Part VI-Revenues &amp; Expenses'!P20</f>
        <v>New Construction</v>
      </c>
      <c r="Q860" s="2137" t="str">
        <f>'Part VI-Revenues &amp; Expenses'!Q20</f>
        <v>Yes</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f t="shared" si="20"/>
        <v>2</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f t="shared" si="135"/>
        <v>2300</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f t="shared" si="170"/>
        <v>2</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f t="shared" si="215"/>
        <v>2</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f t="shared" si="275"/>
        <v>2</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2</v>
      </c>
      <c r="MO860" s="2051">
        <f t="shared" si="337"/>
        <v>0</v>
      </c>
      <c r="MP860" s="2051">
        <f t="shared" si="322"/>
        <v>0</v>
      </c>
      <c r="MQ860" s="2051">
        <f t="shared" si="323"/>
        <v>0</v>
      </c>
      <c r="MR860" s="2051">
        <f t="shared" si="324"/>
        <v>0</v>
      </c>
      <c r="MS860" s="2051">
        <f t="shared" si="325"/>
        <v>0</v>
      </c>
      <c r="MT860" s="2051">
        <f t="shared" si="326"/>
        <v>0</v>
      </c>
      <c r="NP860" s="1924" t="s">
        <v>6726</v>
      </c>
    </row>
    <row r="861" spans="1:380" s="1852" customFormat="1" ht="14.1" customHeight="1">
      <c r="A861" s="2108" t="str">
        <f t="shared" si="327"/>
        <v/>
      </c>
      <c r="B861" s="2130">
        <f>'Part VI-Revenues &amp; Expenses'!B21</f>
        <v>60</v>
      </c>
      <c r="C861" s="2131">
        <f>'Part VI-Revenues &amp; Expenses'!C21</f>
        <v>1</v>
      </c>
      <c r="D861" s="2132">
        <f>'Part VI-Revenues &amp; Expenses'!D21</f>
        <v>1</v>
      </c>
      <c r="E861" s="2133">
        <f>'Part VI-Revenues &amp; Expenses'!E21</f>
        <v>8</v>
      </c>
      <c r="F861" s="2133">
        <f>'Part VI-Revenues &amp; Expenses'!F21</f>
        <v>750</v>
      </c>
      <c r="G861" s="2133">
        <f>'Part VI-Revenues &amp; Expenses'!G21</f>
        <v>930</v>
      </c>
      <c r="H861" s="2133">
        <f>'Part VI-Revenues &amp; Expenses'!H21</f>
        <v>908</v>
      </c>
      <c r="I861" s="2133">
        <f>'Part VI-Revenues &amp; Expenses'!I21</f>
        <v>0</v>
      </c>
      <c r="J861" s="2133">
        <f>'Part VI-Revenues &amp; Expenses'!J21</f>
        <v>129</v>
      </c>
      <c r="K861" s="2134">
        <f>'Part VI-Revenues &amp; Expenses'!K21</f>
        <v>0</v>
      </c>
      <c r="L861" s="2135">
        <f t="shared" si="0"/>
        <v>779</v>
      </c>
      <c r="M861" s="2135">
        <f t="shared" si="1"/>
        <v>6232</v>
      </c>
      <c r="N861" s="1916" t="str">
        <f>'Part VI-Revenues &amp; Expenses'!N21</f>
        <v>No</v>
      </c>
      <c r="O861" s="2136" t="str">
        <f>'Part VI-Revenues &amp; Expenses'!O21</f>
        <v>Low-Rise Elevator</v>
      </c>
      <c r="P861" s="1916" t="str">
        <f>'Part VI-Revenues &amp; Expenses'!P21</f>
        <v>New Construction</v>
      </c>
      <c r="Q861" s="2137" t="str">
        <f>'Part VI-Revenues &amp; Expenses'!Q21</f>
        <v>Yes</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8</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6000</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8</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8</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f t="shared" si="273"/>
        <v>8</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8</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6727</v>
      </c>
    </row>
    <row r="862" spans="1:380" s="1852" customFormat="1" ht="14.1" customHeight="1">
      <c r="A862" s="2108" t="str">
        <f t="shared" si="327"/>
        <v/>
      </c>
      <c r="B862" s="2130">
        <f>'Part VI-Revenues &amp; Expenses'!B22</f>
        <v>60</v>
      </c>
      <c r="C862" s="2131">
        <f>'Part VI-Revenues &amp; Expenses'!C22</f>
        <v>2</v>
      </c>
      <c r="D862" s="2132">
        <f>'Part VI-Revenues &amp; Expenses'!D22</f>
        <v>1</v>
      </c>
      <c r="E862" s="2133">
        <f>'Part VI-Revenues &amp; Expenses'!E22</f>
        <v>42</v>
      </c>
      <c r="F862" s="2133">
        <f>'Part VI-Revenues &amp; Expenses'!F22</f>
        <v>950</v>
      </c>
      <c r="G862" s="2133">
        <f>'Part VI-Revenues &amp; Expenses'!G22</f>
        <v>1117</v>
      </c>
      <c r="H862" s="2133">
        <f>'Part VI-Revenues &amp; Expenses'!H22</f>
        <v>1089</v>
      </c>
      <c r="I862" s="2133">
        <f>'Part VI-Revenues &amp; Expenses'!I22</f>
        <v>0</v>
      </c>
      <c r="J862" s="2133">
        <f>'Part VI-Revenues &amp; Expenses'!J22</f>
        <v>167</v>
      </c>
      <c r="K862" s="2134">
        <f>'Part VI-Revenues &amp; Expenses'!K22</f>
        <v>0</v>
      </c>
      <c r="L862" s="2135">
        <f t="shared" si="0"/>
        <v>922</v>
      </c>
      <c r="M862" s="2135">
        <f t="shared" si="1"/>
        <v>38724</v>
      </c>
      <c r="N862" s="1916" t="str">
        <f>'Part VI-Revenues &amp; Expenses'!N22</f>
        <v>No</v>
      </c>
      <c r="O862" s="2136" t="str">
        <f>'Part VI-Revenues &amp; Expenses'!O22</f>
        <v>Low-Rise Elevator</v>
      </c>
      <c r="P862" s="1916" t="str">
        <f>'Part VI-Revenues &amp; Expenses'!P22</f>
        <v>New Construction</v>
      </c>
      <c r="Q862" s="2137" t="str">
        <f>'Part VI-Revenues &amp; Expenses'!Q22</f>
        <v>Yes</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42</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39900</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42</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42</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f t="shared" si="274"/>
        <v>42</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42</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6728</v>
      </c>
    </row>
    <row r="863" spans="1:380" s="1852" customFormat="1" ht="14.1" customHeight="1">
      <c r="A863" s="2108" t="str">
        <f t="shared" si="327"/>
        <v/>
      </c>
      <c r="B863" s="2130">
        <f>'Part VI-Revenues &amp; Expenses'!B23</f>
        <v>60</v>
      </c>
      <c r="C863" s="2131">
        <f>'Part VI-Revenues &amp; Expenses'!C23</f>
        <v>3</v>
      </c>
      <c r="D863" s="2132">
        <f>'Part VI-Revenues &amp; Expenses'!D23</f>
        <v>2</v>
      </c>
      <c r="E863" s="2133">
        <f>'Part VI-Revenues &amp; Expenses'!E23</f>
        <v>3</v>
      </c>
      <c r="F863" s="2133">
        <f>'Part VI-Revenues &amp; Expenses'!F23</f>
        <v>1150</v>
      </c>
      <c r="G863" s="2133">
        <f>'Part VI-Revenues &amp; Expenses'!G23</f>
        <v>1290</v>
      </c>
      <c r="H863" s="2133">
        <f>'Part VI-Revenues &amp; Expenses'!H23</f>
        <v>1255</v>
      </c>
      <c r="I863" s="2133">
        <f>'Part VI-Revenues &amp; Expenses'!I23</f>
        <v>0</v>
      </c>
      <c r="J863" s="2133">
        <f>'Part VI-Revenues &amp; Expenses'!J23</f>
        <v>199</v>
      </c>
      <c r="K863" s="2134">
        <f>'Part VI-Revenues &amp; Expenses'!K23</f>
        <v>0</v>
      </c>
      <c r="L863" s="2135">
        <f t="shared" si="0"/>
        <v>1056</v>
      </c>
      <c r="M863" s="2135">
        <f t="shared" si="1"/>
        <v>3168</v>
      </c>
      <c r="N863" s="1916" t="str">
        <f>'Part VI-Revenues &amp; Expenses'!N23</f>
        <v>No</v>
      </c>
      <c r="O863" s="2136" t="str">
        <f>'Part VI-Revenues &amp; Expenses'!O23</f>
        <v>Low-Rise Elevator</v>
      </c>
      <c r="P863" s="1916" t="str">
        <f>'Part VI-Revenues &amp; Expenses'!P23</f>
        <v>New Construction</v>
      </c>
      <c r="Q863" s="2137" t="str">
        <f>'Part VI-Revenues &amp; Expenses'!Q23</f>
        <v>Yes</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f t="shared" si="15"/>
        <v>3</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f t="shared" si="130"/>
        <v>3450</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f t="shared" si="170"/>
        <v>3</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f t="shared" si="215"/>
        <v>3</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f t="shared" si="275"/>
        <v>3</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3</v>
      </c>
      <c r="MO863" s="2051">
        <f t="shared" si="337"/>
        <v>0</v>
      </c>
      <c r="MP863" s="2051">
        <f t="shared" si="322"/>
        <v>0</v>
      </c>
      <c r="MQ863" s="2051">
        <f t="shared" si="323"/>
        <v>0</v>
      </c>
      <c r="MR863" s="2051">
        <f t="shared" si="324"/>
        <v>0</v>
      </c>
      <c r="MS863" s="2051">
        <f t="shared" si="325"/>
        <v>0</v>
      </c>
      <c r="MT863" s="2051">
        <f t="shared" si="326"/>
        <v>0</v>
      </c>
      <c r="NP863" s="1924" t="s">
        <v>6729</v>
      </c>
    </row>
    <row r="864" spans="1:380" s="1852" customFormat="1" ht="14.1" customHeight="1">
      <c r="A864" s="2108" t="str">
        <f t="shared" si="327"/>
        <v/>
      </c>
      <c r="B864" s="2130">
        <f>'Part VI-Revenues &amp; Expenses'!B24</f>
        <v>70</v>
      </c>
      <c r="C864" s="2131">
        <f>'Part VI-Revenues &amp; Expenses'!C24</f>
        <v>1</v>
      </c>
      <c r="D864" s="2132">
        <f>'Part VI-Revenues &amp; Expenses'!D24</f>
        <v>1</v>
      </c>
      <c r="E864" s="2133">
        <f>'Part VI-Revenues &amp; Expenses'!E24</f>
        <v>2</v>
      </c>
      <c r="F864" s="2133">
        <f>'Part VI-Revenues &amp; Expenses'!F24</f>
        <v>750</v>
      </c>
      <c r="G864" s="2133">
        <f>'Part VI-Revenues &amp; Expenses'!G24</f>
        <v>1085</v>
      </c>
      <c r="H864" s="2133">
        <f>'Part VI-Revenues &amp; Expenses'!H24</f>
        <v>1063</v>
      </c>
      <c r="I864" s="2133">
        <f>'Part VI-Revenues &amp; Expenses'!I24</f>
        <v>0</v>
      </c>
      <c r="J864" s="2133">
        <f>'Part VI-Revenues &amp; Expenses'!J24</f>
        <v>129</v>
      </c>
      <c r="K864" s="2134">
        <f>'Part VI-Revenues &amp; Expenses'!K24</f>
        <v>0</v>
      </c>
      <c r="L864" s="2135">
        <f t="shared" si="0"/>
        <v>934</v>
      </c>
      <c r="M864" s="2135">
        <f t="shared" si="1"/>
        <v>1868</v>
      </c>
      <c r="N864" s="1916" t="str">
        <f>'Part VI-Revenues &amp; Expenses'!N24</f>
        <v>No</v>
      </c>
      <c r="O864" s="2136" t="str">
        <f>'Part VI-Revenues &amp; Expenses'!O24</f>
        <v>Low-Rise Elevator</v>
      </c>
      <c r="P864" s="1916" t="str">
        <f>'Part VI-Revenues &amp; Expenses'!P24</f>
        <v>New Construction</v>
      </c>
      <c r="Q864" s="2137" t="str">
        <f>'Part VI-Revenues &amp; Expenses'!Q24</f>
        <v>Yes</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f t="shared" si="8"/>
        <v>2</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f t="shared" si="68"/>
        <v>2</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f t="shared" si="123"/>
        <v>1500</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f t="shared" si="168"/>
        <v>2</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f t="shared" si="213"/>
        <v>2</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f t="shared" si="273"/>
        <v>2</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2</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6730</v>
      </c>
    </row>
    <row r="865" spans="1:380" s="1852" customFormat="1" ht="14.1" customHeight="1">
      <c r="A865" s="2108" t="str">
        <f t="shared" si="327"/>
        <v/>
      </c>
      <c r="B865" s="2130">
        <f>'Part VI-Revenues &amp; Expenses'!B25</f>
        <v>70</v>
      </c>
      <c r="C865" s="2131">
        <f>'Part VI-Revenues &amp; Expenses'!C25</f>
        <v>2</v>
      </c>
      <c r="D865" s="2132">
        <f>'Part VI-Revenues &amp; Expenses'!D25</f>
        <v>1</v>
      </c>
      <c r="E865" s="2133">
        <f>'Part VI-Revenues &amp; Expenses'!E25</f>
        <v>6</v>
      </c>
      <c r="F865" s="2133">
        <f>'Part VI-Revenues &amp; Expenses'!F25</f>
        <v>950</v>
      </c>
      <c r="G865" s="2133">
        <f>'Part VI-Revenues &amp; Expenses'!G25</f>
        <v>1303</v>
      </c>
      <c r="H865" s="2133">
        <f>'Part VI-Revenues &amp; Expenses'!H25</f>
        <v>1275</v>
      </c>
      <c r="I865" s="2133">
        <f>'Part VI-Revenues &amp; Expenses'!I25</f>
        <v>0</v>
      </c>
      <c r="J865" s="2133">
        <f>'Part VI-Revenues &amp; Expenses'!J25</f>
        <v>167</v>
      </c>
      <c r="K865" s="2134">
        <f>'Part VI-Revenues &amp; Expenses'!K25</f>
        <v>0</v>
      </c>
      <c r="L865" s="2135">
        <f t="shared" si="0"/>
        <v>1108</v>
      </c>
      <c r="M865" s="2135">
        <f t="shared" si="1"/>
        <v>6648</v>
      </c>
      <c r="N865" s="1916" t="str">
        <f>'Part VI-Revenues &amp; Expenses'!N25</f>
        <v>No</v>
      </c>
      <c r="O865" s="2136" t="str">
        <f>'Part VI-Revenues &amp; Expenses'!O25</f>
        <v>Low-Rise Elevator</v>
      </c>
      <c r="P865" s="1916" t="str">
        <f>'Part VI-Revenues &amp; Expenses'!P25</f>
        <v>New Construction</v>
      </c>
      <c r="Q865" s="2137" t="str">
        <f>'Part VI-Revenues &amp; Expenses'!Q25</f>
        <v>Yes</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f t="shared" si="9"/>
        <v>6</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f t="shared" si="69"/>
        <v>6</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f t="shared" si="124"/>
        <v>5700</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f t="shared" si="169"/>
        <v>6</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f t="shared" si="214"/>
        <v>6</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f t="shared" si="274"/>
        <v>6</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6</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6731</v>
      </c>
    </row>
    <row r="866" spans="1:380" s="1852" customFormat="1" ht="14.1" customHeight="1">
      <c r="A866" s="2108" t="str">
        <f t="shared" si="327"/>
        <v/>
      </c>
      <c r="B866" s="2130">
        <f>'Part VI-Revenues &amp; Expenses'!B26</f>
        <v>70</v>
      </c>
      <c r="C866" s="2131">
        <f>'Part VI-Revenues &amp; Expenses'!C26</f>
        <v>3</v>
      </c>
      <c r="D866" s="2132">
        <f>'Part VI-Revenues &amp; Expenses'!D26</f>
        <v>2</v>
      </c>
      <c r="E866" s="2133">
        <f>'Part VI-Revenues &amp; Expenses'!E26</f>
        <v>1</v>
      </c>
      <c r="F866" s="2133">
        <f>'Part VI-Revenues &amp; Expenses'!F26</f>
        <v>1150</v>
      </c>
      <c r="G866" s="2133">
        <f>'Part VI-Revenues &amp; Expenses'!G26</f>
        <v>1505</v>
      </c>
      <c r="H866" s="2133">
        <f>'Part VI-Revenues &amp; Expenses'!H26</f>
        <v>1470</v>
      </c>
      <c r="I866" s="2133">
        <f>'Part VI-Revenues &amp; Expenses'!I26</f>
        <v>0</v>
      </c>
      <c r="J866" s="2133">
        <f>'Part VI-Revenues &amp; Expenses'!J26</f>
        <v>199</v>
      </c>
      <c r="K866" s="2134">
        <f>'Part VI-Revenues &amp; Expenses'!K26</f>
        <v>0</v>
      </c>
      <c r="L866" s="2135">
        <f t="shared" si="0"/>
        <v>1271</v>
      </c>
      <c r="M866" s="2135">
        <f t="shared" si="1"/>
        <v>1271</v>
      </c>
      <c r="N866" s="1916" t="str">
        <f>'Part VI-Revenues &amp; Expenses'!N26</f>
        <v>No</v>
      </c>
      <c r="O866" s="2136" t="str">
        <f>'Part VI-Revenues &amp; Expenses'!O26</f>
        <v>Low-Rise Elevator</v>
      </c>
      <c r="P866" s="1916" t="str">
        <f>'Part VI-Revenues &amp; Expenses'!P26</f>
        <v>New Construction</v>
      </c>
      <c r="Q866" s="2137" t="str">
        <f>'Part VI-Revenues &amp; Expenses'!Q26</f>
        <v>Yes</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f t="shared" si="10"/>
        <v>1</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f t="shared" si="70"/>
        <v>1</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f t="shared" si="125"/>
        <v>1150</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f t="shared" si="170"/>
        <v>1</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f t="shared" si="215"/>
        <v>1</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f t="shared" si="275"/>
        <v>1</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1</v>
      </c>
      <c r="MO866" s="2051">
        <f t="shared" si="337"/>
        <v>0</v>
      </c>
      <c r="MP866" s="2051">
        <f t="shared" si="322"/>
        <v>0</v>
      </c>
      <c r="MQ866" s="2051">
        <f t="shared" si="323"/>
        <v>0</v>
      </c>
      <c r="MR866" s="2051">
        <f t="shared" si="324"/>
        <v>0</v>
      </c>
      <c r="MS866" s="2051">
        <f t="shared" si="325"/>
        <v>0</v>
      </c>
      <c r="MT866" s="2051">
        <f t="shared" si="326"/>
        <v>0</v>
      </c>
      <c r="NP866" s="1924" t="s">
        <v>6732</v>
      </c>
    </row>
    <row r="867" spans="1:380" s="1852" customFormat="1" ht="14.1"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6733</v>
      </c>
    </row>
    <row r="868" spans="1:380" s="1852" customFormat="1" ht="14.1"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6734</v>
      </c>
    </row>
    <row r="869" spans="1:380" s="1852" customFormat="1" ht="14.1"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6735</v>
      </c>
    </row>
    <row r="870" spans="1:380" s="1852" customFormat="1" ht="14.1"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6736</v>
      </c>
    </row>
    <row r="871" spans="1:380" s="1852" customFormat="1" ht="14.1"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6737</v>
      </c>
    </row>
    <row r="872" spans="1:380" s="1852" customFormat="1" ht="14.1"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6738</v>
      </c>
    </row>
    <row r="873" spans="1:380" s="1852" customFormat="1" ht="14.1"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6739</v>
      </c>
    </row>
    <row r="874" spans="1:380" s="1852" customFormat="1" ht="14.1"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6740</v>
      </c>
    </row>
    <row r="875" spans="1:380" s="1852" customFormat="1" ht="14.1"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6741</v>
      </c>
    </row>
    <row r="876" spans="1:380" s="1852" customFormat="1" ht="14.1"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6742</v>
      </c>
    </row>
    <row r="877" spans="1:380" s="1852" customFormat="1" ht="14.1"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6743</v>
      </c>
    </row>
    <row r="878" spans="1:380" s="1852" customFormat="1" ht="14.1"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6744</v>
      </c>
    </row>
    <row r="879" spans="1:380" s="1852" customFormat="1" ht="14.1"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6745</v>
      </c>
    </row>
    <row r="880" spans="1:380" s="1852" customFormat="1" ht="14.1"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6746</v>
      </c>
    </row>
    <row r="881" spans="1:380" s="1852" customFormat="1" ht="14.1"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6747</v>
      </c>
    </row>
    <row r="882" spans="1:380" s="1852" customFormat="1" ht="14.1"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6748</v>
      </c>
    </row>
    <row r="883" spans="1:380" s="1852" customFormat="1" ht="14.1"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6749</v>
      </c>
    </row>
    <row r="884" spans="1:380" s="1852" customFormat="1" ht="14.1"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6750</v>
      </c>
    </row>
    <row r="885" spans="1:380" s="1852" customFormat="1" ht="14.1"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6751</v>
      </c>
    </row>
    <row r="886" spans="1:380" s="1852" customFormat="1" ht="14.1"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6752</v>
      </c>
    </row>
    <row r="887" spans="1:380" s="1852" customFormat="1" ht="14.1"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6753</v>
      </c>
    </row>
    <row r="888" spans="1:380" s="1852" customFormat="1" ht="14.1"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6754</v>
      </c>
    </row>
    <row r="889" spans="1:380" s="1852" customFormat="1" ht="14.1" customHeight="1">
      <c r="A889" s="2108">
        <f>COUNT(A851,A852,A853,A854,A855,A856,A857,A858,A859,A860,A861,A862,A863,A864,A865,A866,A867,A868,A869,A870,A871,A872,A873,A874,A875,A876,A877,A878,A879,A880)</f>
        <v>0</v>
      </c>
      <c r="B889" s="435" t="s">
        <v>3922</v>
      </c>
      <c r="C889" s="435"/>
      <c r="D889" s="2141" t="s">
        <v>979</v>
      </c>
      <c r="E889" s="2142">
        <f>SUM(E851:E888)</f>
        <v>89</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82950</v>
      </c>
      <c r="H889" s="2144" t="s">
        <v>3919</v>
      </c>
      <c r="I889" s="2145" t="s">
        <v>3920</v>
      </c>
      <c r="J889" s="2146" t="str">
        <f>IF(P907=0,"",IF(SUM(P898:P902)/P907&gt;=0.4,"Pass","Fail"))</f>
        <v>Pass</v>
      </c>
      <c r="K889" s="436"/>
      <c r="L889" s="2141" t="s">
        <v>1254</v>
      </c>
      <c r="M889" s="2147">
        <f>SUM(M851:M888)</f>
        <v>77545</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2</v>
      </c>
      <c r="AE889" s="2140">
        <f t="shared" si="338"/>
        <v>6</v>
      </c>
      <c r="AF889" s="2140">
        <f t="shared" si="338"/>
        <v>1</v>
      </c>
      <c r="AG889" s="2140">
        <f t="shared" si="338"/>
        <v>0</v>
      </c>
      <c r="AH889" s="2140">
        <f t="shared" si="338"/>
        <v>0</v>
      </c>
      <c r="AI889" s="2140">
        <f t="shared" si="338"/>
        <v>8</v>
      </c>
      <c r="AJ889" s="2140">
        <f t="shared" si="338"/>
        <v>42</v>
      </c>
      <c r="AK889" s="2140">
        <f t="shared" si="338"/>
        <v>3</v>
      </c>
      <c r="AL889" s="2140">
        <f t="shared" si="338"/>
        <v>0</v>
      </c>
      <c r="AM889" s="2140">
        <f>SUM(AM851:AM888)</f>
        <v>0</v>
      </c>
      <c r="AN889" s="2140">
        <f>SUM(AN851:AN888)</f>
        <v>4</v>
      </c>
      <c r="AO889" s="2140">
        <f>SUM(AO851:AO888)</f>
        <v>21</v>
      </c>
      <c r="AP889" s="2140">
        <f>SUM(AP851:AP888)</f>
        <v>2</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2</v>
      </c>
      <c r="CM889" s="2140">
        <f>SUM(CM851:CM888)</f>
        <v>6</v>
      </c>
      <c r="CN889" s="2140">
        <f>SUM(CN851:CN888)</f>
        <v>1</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1500</v>
      </c>
      <c r="EP889" s="2140">
        <f t="shared" si="338"/>
        <v>5700</v>
      </c>
      <c r="EQ889" s="2140">
        <f t="shared" si="338"/>
        <v>1150</v>
      </c>
      <c r="ER889" s="2140">
        <f t="shared" si="338"/>
        <v>0</v>
      </c>
      <c r="ES889" s="2140">
        <f t="shared" si="338"/>
        <v>0</v>
      </c>
      <c r="ET889" s="2140">
        <f t="shared" si="338"/>
        <v>6000</v>
      </c>
      <c r="EU889" s="2140">
        <f t="shared" si="338"/>
        <v>39900</v>
      </c>
      <c r="EV889" s="2140">
        <f t="shared" si="338"/>
        <v>3450</v>
      </c>
      <c r="EW889" s="2140">
        <f t="shared" si="338"/>
        <v>0</v>
      </c>
      <c r="EX889" s="2140">
        <f t="shared" si="338"/>
        <v>0</v>
      </c>
      <c r="EY889" s="2140">
        <f t="shared" si="338"/>
        <v>3000</v>
      </c>
      <c r="EZ889" s="2140">
        <f t="shared" si="338"/>
        <v>19950</v>
      </c>
      <c r="FA889" s="2140">
        <f t="shared" si="338"/>
        <v>2300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14</v>
      </c>
      <c r="GI889" s="2140">
        <f t="shared" si="340"/>
        <v>69</v>
      </c>
      <c r="GJ889" s="2140">
        <f t="shared" si="340"/>
        <v>6</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14</v>
      </c>
      <c r="IB889" s="2140">
        <f t="shared" si="341"/>
        <v>69</v>
      </c>
      <c r="IC889" s="2140">
        <f t="shared" si="341"/>
        <v>6</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14</v>
      </c>
      <c r="KJ889" s="2140">
        <f t="shared" ref="KJ889:MU889" si="342">SUM(KJ851:KJ888)</f>
        <v>69</v>
      </c>
      <c r="KK889" s="2140">
        <f t="shared" si="342"/>
        <v>6</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14</v>
      </c>
      <c r="MM889" s="2140">
        <f t="shared" si="342"/>
        <v>69</v>
      </c>
      <c r="MN889" s="2140">
        <f t="shared" si="342"/>
        <v>6</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6755</v>
      </c>
    </row>
    <row r="890" spans="1:380" s="1852" customFormat="1" ht="14.1"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57.977528089887642</v>
      </c>
      <c r="C890" s="2148"/>
      <c r="D890" s="2108" t="s">
        <v>3829</v>
      </c>
      <c r="E890" s="2142">
        <f>SUM(E858:E888)</f>
        <v>89</v>
      </c>
      <c r="F890" s="2143">
        <f>(E858*F858+E859*F859+E860*F860+E861*F861+E862*F862+E863*F863+E864*F864+E865*F865+E866*F866+E867*F867+E868*F868+E869*F869+E870*F870+E871*F871+E872*F872+E873*F873+E874*F874+E875*F875+E876*F876+E877*F877+E878*F878+E879*F879+E880*F880+E881*F881+E882*F882+E883*F883+E884*F884+E885*F885+E886*F886+E887*F887+E888*F888)</f>
        <v>82950</v>
      </c>
      <c r="H890" s="2144"/>
      <c r="I890" s="2145" t="s">
        <v>3921</v>
      </c>
      <c r="J890" s="2146" t="str">
        <f>IF(P907=0,"",IF(SUM(P899:P902)/P907&gt;=0.2,"Pass","Fail"))</f>
        <v>Pass</v>
      </c>
      <c r="K890" s="436"/>
      <c r="L890" s="2141" t="s">
        <v>781</v>
      </c>
      <c r="M890" s="2147">
        <f>M889*12</f>
        <v>930540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6756</v>
      </c>
    </row>
    <row r="891" spans="1:380" s="1852" customFormat="1" ht="12" customHeight="1">
      <c r="A891" s="1864" t="s">
        <v>7103</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6819</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4283</v>
      </c>
      <c r="B896" s="1843"/>
      <c r="C896" s="1818" t="s">
        <v>1095</v>
      </c>
      <c r="D896" s="1818"/>
      <c r="E896" s="1818"/>
      <c r="F896" s="1818"/>
      <c r="H896" s="1719" t="s">
        <v>3830</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3831</v>
      </c>
      <c r="I897" s="435"/>
      <c r="K897" s="2152">
        <f>AC889</f>
        <v>0</v>
      </c>
      <c r="L897" s="2152">
        <f>AD889</f>
        <v>2</v>
      </c>
      <c r="M897" s="2152">
        <f>AE889</f>
        <v>6</v>
      </c>
      <c r="N897" s="2152">
        <f>AF889</f>
        <v>1</v>
      </c>
      <c r="O897" s="2152">
        <f>AG889</f>
        <v>0</v>
      </c>
      <c r="P897" s="2152">
        <f t="shared" si="343"/>
        <v>9</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8</v>
      </c>
      <c r="M898" s="2152">
        <f>AJ889</f>
        <v>42</v>
      </c>
      <c r="N898" s="2152">
        <f>AK889</f>
        <v>3</v>
      </c>
      <c r="O898" s="2152">
        <f>AL889</f>
        <v>0</v>
      </c>
      <c r="P898" s="2152">
        <f t="shared" si="343"/>
        <v>53</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4</v>
      </c>
      <c r="M899" s="2152">
        <f>AO889</f>
        <v>21</v>
      </c>
      <c r="N899" s="2152">
        <f>AP889</f>
        <v>2</v>
      </c>
      <c r="O899" s="2152">
        <f>AQ889</f>
        <v>0</v>
      </c>
      <c r="P899" s="2152">
        <f t="shared" si="343"/>
        <v>27</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3832</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3833</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3834</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3916</v>
      </c>
      <c r="D903" s="1818"/>
      <c r="E903" s="1818"/>
      <c r="F903" s="1818"/>
      <c r="H903" s="2114"/>
      <c r="I903" s="2112"/>
      <c r="K903" s="2152">
        <f>SUM(K896:K902)</f>
        <v>0</v>
      </c>
      <c r="L903" s="2152">
        <f>SUM(L896:L902)</f>
        <v>14</v>
      </c>
      <c r="M903" s="2152">
        <f>SUM(M896:M902)</f>
        <v>69</v>
      </c>
      <c r="N903" s="2152">
        <f>SUM(N896:N902)</f>
        <v>6</v>
      </c>
      <c r="O903" s="2152">
        <f>SUM(O896:O902)</f>
        <v>0</v>
      </c>
      <c r="P903" s="2152">
        <f t="shared" si="343"/>
        <v>89</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14</v>
      </c>
      <c r="M905" s="2157">
        <f>SUM(M903:M904)</f>
        <v>69</v>
      </c>
      <c r="N905" s="2157">
        <f>SUM(N903:N904)</f>
        <v>6</v>
      </c>
      <c r="O905" s="2157">
        <f>SUM(O903:O904)</f>
        <v>0</v>
      </c>
      <c r="P905" s="2157">
        <f t="shared" si="343"/>
        <v>89</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14</v>
      </c>
      <c r="M907" s="2152">
        <f>SUM(M905:M906)</f>
        <v>69</v>
      </c>
      <c r="N907" s="2152">
        <f>SUM(N905:N906)</f>
        <v>6</v>
      </c>
      <c r="O907" s="2152">
        <f>SUM(O905:O906)</f>
        <v>0</v>
      </c>
      <c r="P907" s="2152">
        <f t="shared" si="343"/>
        <v>89</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350000000000001"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3927</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35" customHeight="1">
      <c r="A910" s="1843"/>
      <c r="B910" s="1843"/>
      <c r="C910" s="2158"/>
      <c r="D910" s="2158"/>
      <c r="E910" s="2158"/>
      <c r="F910" s="2158"/>
      <c r="G910" s="1852"/>
      <c r="H910" s="2159" t="s">
        <v>3830</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4275</v>
      </c>
      <c r="S910" s="2043"/>
      <c r="T910" s="2043"/>
      <c r="U910" s="2043"/>
      <c r="V910" s="2043"/>
      <c r="W910" s="2043"/>
    </row>
    <row r="911" spans="1:380">
      <c r="A911" s="1843"/>
      <c r="B911" s="1843"/>
      <c r="C911" s="2113"/>
      <c r="D911" s="1852"/>
      <c r="E911" s="1852"/>
      <c r="F911" s="1852"/>
      <c r="G911" s="1852"/>
      <c r="H911" s="2159" t="s">
        <v>7104</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7105</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7106</v>
      </c>
      <c r="E913" s="2113"/>
      <c r="F913" s="2113"/>
      <c r="G913" s="1852"/>
      <c r="H913" s="2159" t="s">
        <v>3831</v>
      </c>
      <c r="I913" s="2160"/>
      <c r="J913" s="1818"/>
      <c r="K913" s="2162" t="str">
        <f t="shared" ref="K913:P913" si="346">IF(OR(K897=0,K907=0),"",K897/K907)</f>
        <v/>
      </c>
      <c r="L913" s="2162">
        <f t="shared" si="346"/>
        <v>0.14285714285714285</v>
      </c>
      <c r="M913" s="2162">
        <f t="shared" si="346"/>
        <v>8.6956521739130432E-2</v>
      </c>
      <c r="N913" s="2162">
        <f t="shared" si="346"/>
        <v>0.16666666666666666</v>
      </c>
      <c r="O913" s="2162" t="str">
        <f t="shared" si="346"/>
        <v/>
      </c>
      <c r="P913" s="2162">
        <f t="shared" si="346"/>
        <v>0.10112359550561797</v>
      </c>
      <c r="S913" s="2043"/>
      <c r="T913" s="2043"/>
      <c r="U913" s="2043"/>
      <c r="V913" s="2043"/>
      <c r="W913" s="2043"/>
    </row>
    <row r="914" spans="3:23">
      <c r="C914" s="2113"/>
      <c r="D914" s="2113"/>
      <c r="E914" s="2113"/>
      <c r="F914" s="2113"/>
      <c r="G914" s="1852"/>
      <c r="H914" s="2159" t="s">
        <v>7104</v>
      </c>
      <c r="I914" s="2160"/>
      <c r="J914" s="1818"/>
      <c r="K914" s="2163" t="str">
        <f>IF(OR(K897=0,P913="",K907=0),"",P913*K907)</f>
        <v/>
      </c>
      <c r="L914" s="2163">
        <f>IF(OR(L897=0,P913="",L907=0),"",P913*L907)</f>
        <v>1.4157303370786516</v>
      </c>
      <c r="M914" s="2163">
        <f>IF(OR(M897=0,P913="",M907=0),"",P913*M907)</f>
        <v>6.97752808988764</v>
      </c>
      <c r="N914" s="2163">
        <f>IF(OR(N897=0,P913="",N907=0),"",P913*N907)</f>
        <v>0.60674157303370779</v>
      </c>
      <c r="O914" s="2163" t="str">
        <f>IF(OR(O897=0,P913="",O907=0),"",P913*O907)</f>
        <v/>
      </c>
      <c r="P914" s="2163">
        <f>IF(OR(P913="",P907=0),"",P913*P907)</f>
        <v>9</v>
      </c>
      <c r="S914" s="2043"/>
      <c r="T914" s="2043"/>
      <c r="U914" s="2043"/>
      <c r="V914" s="2043"/>
      <c r="W914" s="2043"/>
    </row>
    <row r="915" spans="3:23">
      <c r="C915" s="2113"/>
      <c r="D915" s="2113"/>
      <c r="E915" s="2113"/>
      <c r="F915" s="2113"/>
      <c r="G915" s="2164"/>
      <c r="H915" s="2159" t="s">
        <v>7105</v>
      </c>
      <c r="I915" s="2160"/>
      <c r="J915" s="1818"/>
      <c r="K915" s="2163" t="str">
        <f t="shared" ref="K915:P915" si="347">IF(OR(K914="",K897=0),"", K897-K914)</f>
        <v/>
      </c>
      <c r="L915" s="2163">
        <f t="shared" si="347"/>
        <v>0.58426966292134841</v>
      </c>
      <c r="M915" s="2163">
        <f t="shared" si="347"/>
        <v>-0.97752808988763995</v>
      </c>
      <c r="N915" s="2163">
        <f t="shared" si="347"/>
        <v>0.39325842696629221</v>
      </c>
      <c r="O915" s="2163" t="str">
        <f t="shared" si="347"/>
        <v/>
      </c>
      <c r="P915" s="2163">
        <f t="shared" si="347"/>
        <v>0</v>
      </c>
      <c r="S915" s="2043"/>
      <c r="T915" s="2043"/>
      <c r="U915" s="2043"/>
      <c r="V915" s="2043"/>
      <c r="W915" s="2043"/>
    </row>
    <row r="916" spans="3:23">
      <c r="C916" s="1924" t="s">
        <v>4273</v>
      </c>
      <c r="D916" s="2113"/>
      <c r="E916" s="2113"/>
      <c r="F916" s="2113"/>
      <c r="G916" s="1852"/>
      <c r="H916" s="2159" t="s">
        <v>1107</v>
      </c>
      <c r="I916" s="2160"/>
      <c r="J916" s="1818"/>
      <c r="K916" s="2162" t="str">
        <f t="shared" ref="K916:P916" si="348">IF(OR(K898=0,K907=0),"",K898/K907)</f>
        <v/>
      </c>
      <c r="L916" s="2162">
        <f t="shared" si="348"/>
        <v>0.5714285714285714</v>
      </c>
      <c r="M916" s="2162">
        <f t="shared" si="348"/>
        <v>0.60869565217391308</v>
      </c>
      <c r="N916" s="2162">
        <f t="shared" si="348"/>
        <v>0.5</v>
      </c>
      <c r="O916" s="2162" t="str">
        <f t="shared" si="348"/>
        <v/>
      </c>
      <c r="P916" s="2162">
        <f t="shared" si="348"/>
        <v>0.5955056179775281</v>
      </c>
      <c r="S916" s="2043"/>
      <c r="T916" s="2043"/>
      <c r="U916" s="2043"/>
      <c r="V916" s="2043"/>
      <c r="W916" s="2043"/>
    </row>
    <row r="917" spans="3:23" ht="15.75" customHeight="1">
      <c r="D917" s="2113"/>
      <c r="E917" s="2113"/>
      <c r="F917" s="2113"/>
      <c r="G917" s="1852"/>
      <c r="H917" s="2159" t="s">
        <v>7104</v>
      </c>
      <c r="I917" s="2160"/>
      <c r="J917" s="1818"/>
      <c r="K917" s="2163" t="str">
        <f>IF(OR(K898=0,P916="",K907=0),"",P916*K907)</f>
        <v/>
      </c>
      <c r="L917" s="2163">
        <f>IF(OR(L898=0,P916="",L907=0),"",P916*L907)</f>
        <v>8.3370786516853936</v>
      </c>
      <c r="M917" s="2163">
        <f>IF(OR(M898=0,P916="",M907=0),"",P916*M907)</f>
        <v>41.08988764044944</v>
      </c>
      <c r="N917" s="2163">
        <f>IF(OR(N898=0,P916="",N907=0),"",P916*N907)</f>
        <v>3.5730337078651688</v>
      </c>
      <c r="O917" s="2163" t="str">
        <f>IF(OR(O898=0,P916="",O907=0),"",P916*O907)</f>
        <v/>
      </c>
      <c r="P917" s="2163">
        <f>IF(OR(P916="",P907=0),"",P916*P907)</f>
        <v>53</v>
      </c>
      <c r="S917" s="2043"/>
      <c r="T917" s="2043"/>
      <c r="U917" s="2043"/>
      <c r="V917" s="2043"/>
      <c r="W917" s="2043"/>
    </row>
    <row r="918" spans="3:23" ht="15.75" customHeight="1">
      <c r="D918" s="2113"/>
      <c r="E918" s="2113"/>
      <c r="F918" s="2113"/>
      <c r="G918" s="2164"/>
      <c r="H918" s="2159" t="s">
        <v>7105</v>
      </c>
      <c r="I918" s="2160"/>
      <c r="J918" s="1818"/>
      <c r="K918" s="2163" t="str">
        <f t="shared" ref="K918:P918" si="349">IF(OR(K917="",K898=0),"", K898-K917)</f>
        <v/>
      </c>
      <c r="L918" s="2163">
        <f t="shared" si="349"/>
        <v>-0.33707865168539364</v>
      </c>
      <c r="M918" s="2163">
        <f t="shared" si="349"/>
        <v>0.9101123595505598</v>
      </c>
      <c r="N918" s="2163">
        <f t="shared" si="349"/>
        <v>-0.57303370786516883</v>
      </c>
      <c r="O918" s="2163" t="str">
        <f t="shared" si="349"/>
        <v/>
      </c>
      <c r="P918" s="2163">
        <f t="shared" si="349"/>
        <v>0</v>
      </c>
    </row>
    <row r="919" spans="3:23">
      <c r="C919" s="1924" t="s">
        <v>4273</v>
      </c>
      <c r="F919" s="1852"/>
      <c r="G919" s="1852"/>
      <c r="H919" s="2159" t="s">
        <v>111</v>
      </c>
      <c r="I919" s="2160"/>
      <c r="J919" s="1818"/>
      <c r="K919" s="2162" t="str">
        <f t="shared" ref="K919:P919" si="350">IF(OR(K899=0,K907=0),"",K899/K907)</f>
        <v/>
      </c>
      <c r="L919" s="2162">
        <f t="shared" si="350"/>
        <v>0.2857142857142857</v>
      </c>
      <c r="M919" s="2162">
        <f t="shared" si="350"/>
        <v>0.30434782608695654</v>
      </c>
      <c r="N919" s="2162">
        <f t="shared" si="350"/>
        <v>0.33333333333333331</v>
      </c>
      <c r="O919" s="2162" t="str">
        <f t="shared" si="350"/>
        <v/>
      </c>
      <c r="P919" s="2162">
        <f t="shared" si="350"/>
        <v>0.30337078651685395</v>
      </c>
    </row>
    <row r="920" spans="3:23">
      <c r="F920" s="1852"/>
      <c r="G920" s="1852"/>
      <c r="H920" s="2159" t="s">
        <v>7104</v>
      </c>
      <c r="I920" s="2160"/>
      <c r="J920" s="1818"/>
      <c r="K920" s="2163" t="str">
        <f>IF(OR(K899=0,P919="",K907=0),"",P919*K907)</f>
        <v/>
      </c>
      <c r="L920" s="2163">
        <f>IF(OR(L899=0,P919="",L907=0),"",P919*L907)</f>
        <v>4.2471910112359552</v>
      </c>
      <c r="M920" s="2163">
        <f>IF(OR(M899=0,P919="",M907=0),"",P919*M907)</f>
        <v>20.932584269662922</v>
      </c>
      <c r="N920" s="2163">
        <f>IF(OR(N899=0,P919="",N907=0),"",P919*N907)</f>
        <v>1.8202247191011236</v>
      </c>
      <c r="O920" s="2163" t="str">
        <f>IF(OR(O899=0,P919="",O907=0),"",P919*O907)</f>
        <v/>
      </c>
      <c r="P920" s="2163">
        <f>IF(OR(P919="",P907=0),"",P919*P907)</f>
        <v>27</v>
      </c>
    </row>
    <row r="921" spans="3:23">
      <c r="F921" s="1852"/>
      <c r="G921" s="2164"/>
      <c r="H921" s="2159" t="s">
        <v>7105</v>
      </c>
      <c r="I921" s="2160"/>
      <c r="J921" s="1818"/>
      <c r="K921" s="2163" t="str">
        <f t="shared" ref="K921:P921" si="351">IF(OR(K920="",K899=0),"", K899-K920)</f>
        <v/>
      </c>
      <c r="L921" s="2163">
        <f t="shared" si="351"/>
        <v>-0.24719101123595522</v>
      </c>
      <c r="M921" s="2163">
        <f t="shared" si="351"/>
        <v>6.7415730337078372E-2</v>
      </c>
      <c r="N921" s="2163">
        <f t="shared" si="351"/>
        <v>0.1797752808988764</v>
      </c>
      <c r="O921" s="2163" t="str">
        <f t="shared" si="351"/>
        <v/>
      </c>
      <c r="P921" s="2163">
        <f t="shared" si="351"/>
        <v>0</v>
      </c>
    </row>
    <row r="922" spans="3:23">
      <c r="C922" s="1924" t="s">
        <v>4273</v>
      </c>
      <c r="F922" s="1852"/>
      <c r="G922" s="1852"/>
      <c r="H922" s="2159" t="s">
        <v>3832</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7104</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7105</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4273</v>
      </c>
      <c r="D925" s="1852"/>
      <c r="E925" s="1852"/>
      <c r="F925" s="1852"/>
      <c r="G925" s="1852"/>
      <c r="H925" s="2159" t="s">
        <v>3833</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7104</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7105</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4273</v>
      </c>
      <c r="D928" s="1852"/>
      <c r="E928" s="1852"/>
      <c r="F928" s="1852"/>
      <c r="G928" s="1852"/>
      <c r="H928" s="2159" t="s">
        <v>3834</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7104</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7105</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3830</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3831</v>
      </c>
      <c r="I934" s="435"/>
      <c r="K934" s="2152">
        <f>CK889</f>
        <v>0</v>
      </c>
      <c r="L934" s="2152">
        <f>CL889</f>
        <v>2</v>
      </c>
      <c r="M934" s="2152">
        <f>CM889</f>
        <v>6</v>
      </c>
      <c r="N934" s="2152">
        <f>CN889</f>
        <v>1</v>
      </c>
      <c r="O934" s="2152">
        <f>CO889</f>
        <v>0</v>
      </c>
      <c r="P934" s="2152">
        <f t="shared" si="358"/>
        <v>9</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3832</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3833</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3834</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2</v>
      </c>
      <c r="M940" s="2152">
        <f>SUM(M933:M939)</f>
        <v>6</v>
      </c>
      <c r="N940" s="2152">
        <f>SUM(N933:N939)</f>
        <v>1</v>
      </c>
      <c r="O940" s="2152">
        <f>SUM(O933:O939)</f>
        <v>0</v>
      </c>
      <c r="P940" s="2152">
        <f t="shared" si="358"/>
        <v>9</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7107</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3830</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3831</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3832</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3833</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3834</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14</v>
      </c>
      <c r="M953" s="2152">
        <f>GI889</f>
        <v>69</v>
      </c>
      <c r="N953" s="2152">
        <f>GJ889</f>
        <v>6</v>
      </c>
      <c r="O953" s="2152">
        <f>GK889</f>
        <v>0</v>
      </c>
      <c r="P953" s="2152">
        <f t="shared" ref="P953:P963" si="360">SUM(K953:O953)</f>
        <v>89</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14</v>
      </c>
      <c r="M955" s="2152">
        <f>SUM(M953:M954)+GS889</f>
        <v>69</v>
      </c>
      <c r="N955" s="2152">
        <f>SUM(N953:N954)+GT889</f>
        <v>6</v>
      </c>
      <c r="O955" s="2152">
        <f>SUM(O953:O954)+GU889</f>
        <v>0</v>
      </c>
      <c r="P955" s="2152">
        <f t="shared" si="360"/>
        <v>89</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SHOW HISTORIC UNITS HERE &gt;&gt;&gt;&gt;</v>
      </c>
      <c r="B963" s="2114"/>
      <c r="C963" s="2114"/>
      <c r="D963" s="2114"/>
      <c r="E963" s="1719" t="s">
        <v>6845</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7108</v>
      </c>
      <c r="D967" s="2158"/>
      <c r="E967" s="1719" t="s">
        <v>36</v>
      </c>
      <c r="F967" s="1818"/>
      <c r="G967" s="1864"/>
      <c r="H967" s="2114"/>
      <c r="K967" s="2152">
        <f t="shared" ref="K967:P967" si="361">SUM(K968:K975)</f>
        <v>0</v>
      </c>
      <c r="L967" s="2152">
        <f t="shared" si="361"/>
        <v>14</v>
      </c>
      <c r="M967" s="2152">
        <f t="shared" si="361"/>
        <v>69</v>
      </c>
      <c r="N967" s="2152">
        <f t="shared" si="361"/>
        <v>6</v>
      </c>
      <c r="O967" s="2152">
        <f t="shared" si="361"/>
        <v>0</v>
      </c>
      <c r="P967" s="2152">
        <f t="shared" si="361"/>
        <v>89</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6596</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6804</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14</v>
      </c>
      <c r="M971" s="2157">
        <f>KJ889</f>
        <v>69</v>
      </c>
      <c r="N971" s="2157">
        <f>KK889</f>
        <v>6</v>
      </c>
      <c r="O971" s="2157">
        <f>KL889</f>
        <v>0</v>
      </c>
      <c r="P971" s="2157">
        <f t="shared" si="362"/>
        <v>89</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6598</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6811</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6806</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6807</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6592</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7107</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7109</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14</v>
      </c>
      <c r="M994" s="2157">
        <f t="shared" si="366"/>
        <v>69</v>
      </c>
      <c r="N994" s="2157">
        <f t="shared" si="366"/>
        <v>6</v>
      </c>
      <c r="O994" s="2157">
        <f t="shared" si="366"/>
        <v>0</v>
      </c>
      <c r="P994" s="2157">
        <f t="shared" si="364"/>
        <v>89</v>
      </c>
      <c r="Q994" s="1852" t="s">
        <v>7035</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6820</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3830</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3831</v>
      </c>
      <c r="I998" s="2121"/>
      <c r="K998" s="2171">
        <f>EN889</f>
        <v>0</v>
      </c>
      <c r="L998" s="2171">
        <f>EO889</f>
        <v>1500</v>
      </c>
      <c r="M998" s="2171">
        <f>EP889</f>
        <v>5700</v>
      </c>
      <c r="N998" s="2171">
        <f>EQ889</f>
        <v>1150</v>
      </c>
      <c r="O998" s="2171">
        <f>ER889</f>
        <v>0</v>
      </c>
      <c r="P998" s="2171">
        <f t="shared" si="367"/>
        <v>8350</v>
      </c>
      <c r="Q998" s="2172">
        <f t="shared" si="368"/>
        <v>927.77777777777783</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6000</v>
      </c>
      <c r="M999" s="2171">
        <f>EU889</f>
        <v>39900</v>
      </c>
      <c r="N999" s="2171">
        <f>EV889</f>
        <v>3450</v>
      </c>
      <c r="O999" s="2171">
        <f>EW889</f>
        <v>0</v>
      </c>
      <c r="P999" s="2171">
        <f t="shared" si="367"/>
        <v>49350</v>
      </c>
      <c r="Q999" s="2172">
        <f t="shared" si="368"/>
        <v>931.13207547169816</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3000</v>
      </c>
      <c r="M1000" s="2171">
        <f>EZ889</f>
        <v>19950</v>
      </c>
      <c r="N1000" s="2171">
        <f>FA889</f>
        <v>2300</v>
      </c>
      <c r="O1000" s="2171">
        <f>FB889</f>
        <v>0</v>
      </c>
      <c r="P1000" s="2171">
        <f t="shared" si="367"/>
        <v>25250</v>
      </c>
      <c r="Q1000" s="2172">
        <f t="shared" si="368"/>
        <v>935.18518518518522</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3832</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3833</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3834</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3915</v>
      </c>
      <c r="I1004" s="2170"/>
      <c r="J1004" s="2154"/>
      <c r="K1004" s="2173">
        <f>SUM(K997:K1003)</f>
        <v>0</v>
      </c>
      <c r="L1004" s="2173">
        <f>SUM(L997:L1003)</f>
        <v>10500</v>
      </c>
      <c r="M1004" s="2173">
        <f>SUM(M997:M1003)</f>
        <v>65550</v>
      </c>
      <c r="N1004" s="2173">
        <f>SUM(N997:N1003)</f>
        <v>6900</v>
      </c>
      <c r="O1004" s="2173">
        <f>SUM(O997:O1003)</f>
        <v>0</v>
      </c>
      <c r="P1004" s="2173">
        <f>SUM(K1004:O1004)</f>
        <v>82950</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10500</v>
      </c>
      <c r="M1006" s="2173">
        <f>SUM(M1004:M1005)</f>
        <v>65550</v>
      </c>
      <c r="N1006" s="2173">
        <f>SUM(N1004:N1005)</f>
        <v>6900</v>
      </c>
      <c r="O1006" s="2173">
        <f>SUM(O1004:O1005)</f>
        <v>0</v>
      </c>
      <c r="P1006" s="2173">
        <f>SUM(K1006:O1006)</f>
        <v>82950</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10500</v>
      </c>
      <c r="M1008" s="2171">
        <f>SUM(M1006:M1007)</f>
        <v>65550</v>
      </c>
      <c r="N1008" s="2171">
        <f>SUM(N1006:N1007)</f>
        <v>6900</v>
      </c>
      <c r="O1008" s="2171">
        <f>SUM(O1006:O1007)</f>
        <v>0</v>
      </c>
      <c r="P1008" s="2171">
        <f>SUM(K1008:O1008)</f>
        <v>82950</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7110</v>
      </c>
      <c r="K1011" s="2174" t="str">
        <f>IF(OR(K907="",K907=0),"",K1008/K907)</f>
        <v/>
      </c>
      <c r="L1011" s="2174">
        <f>IF(OR(L907="",L907=0),"",L1008/L907)</f>
        <v>750</v>
      </c>
      <c r="M1011" s="2174">
        <f>IF(OR(M907="",M907=0),"",M1008/M907)</f>
        <v>950</v>
      </c>
      <c r="N1011" s="2174">
        <f>IF(OR(N907="",N907=0),"",N1008/N907)</f>
        <v>1150</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7111</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18610.8</v>
      </c>
      <c r="I1016" s="2176"/>
      <c r="J1016" s="2176"/>
      <c r="K1016" s="1719"/>
      <c r="L1016" s="2115" t="s">
        <v>7036</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7037</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7038</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7037</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7038</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7037</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7038</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7037</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7038</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44136</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46500</v>
      </c>
      <c r="G1058" s="2189"/>
      <c r="I1058" s="1818" t="s">
        <v>1329</v>
      </c>
      <c r="L1058" s="2189">
        <f>'Part VI-Revenues &amp; Expenses'!L218</f>
        <v>0</v>
      </c>
      <c r="M1058" s="2189"/>
      <c r="O1058" s="2190">
        <f>+Q1057/(P907*0.93)</f>
        <v>533.2366799565059</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36000</v>
      </c>
      <c r="G1059" s="2189"/>
      <c r="I1059" s="1818" t="s">
        <v>1330</v>
      </c>
      <c r="L1059" s="2189">
        <f>'Part VI-Revenues &amp; Expenses'!L219</f>
        <v>0</v>
      </c>
      <c r="M1059" s="2189"/>
      <c r="O1059" s="2190">
        <f>+Q1057/(P907*0.93)/12</f>
        <v>44.436389996375489</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4221</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4222</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82500</v>
      </c>
      <c r="G1064" s="2171"/>
      <c r="I1064" s="1818" t="s">
        <v>1536</v>
      </c>
      <c r="L1064" s="2189">
        <f>'Part VI-Revenues &amp; Expenses'!L224</f>
        <v>5000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12000</v>
      </c>
      <c r="M1065" s="2189"/>
      <c r="N1065" s="1719" t="str">
        <f>IF(Q1067="","",IF(Q1065&lt;Q1067, "WARNING! OE below required minimum.",""))</f>
        <v/>
      </c>
      <c r="O1065" s="1818" t="s">
        <v>2091</v>
      </c>
      <c r="Q1065" s="2174">
        <f>F1064+F1073+F1084+L1060+L1068+L1077+L1084+Q1057</f>
        <v>445099</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8000</v>
      </c>
      <c r="M1066" s="2189"/>
      <c r="N1066" s="1719"/>
      <c r="O1066" s="2156" t="s">
        <v>2588</v>
      </c>
      <c r="P1066" s="2190">
        <f>+Q1065/P907</f>
        <v>5001.1123595505615</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6757</v>
      </c>
    </row>
    <row r="1067" spans="2:380" s="1818" customFormat="1" ht="15.6" customHeight="1">
      <c r="B1067" s="1818" t="s">
        <v>1323</v>
      </c>
      <c r="D1067" s="2192"/>
      <c r="F1067" s="2189">
        <f>'Part VI-Revenues &amp; Expenses'!F227</f>
        <v>3500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2500</v>
      </c>
      <c r="G1068" s="2189"/>
      <c r="K1068" s="2191" t="s">
        <v>183</v>
      </c>
      <c r="L1068" s="2174">
        <f>SUM(L1064:L1067)</f>
        <v>25000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2000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2000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6758</v>
      </c>
    </row>
    <row r="1071" spans="2:380" s="1818" customFormat="1" ht="15.6" customHeight="1">
      <c r="B1071" s="1818" t="s">
        <v>1534</v>
      </c>
      <c r="D1071" s="2192"/>
      <c r="F1071" s="2189">
        <f>'Part VI-Revenues &amp; Expenses'!F231</f>
        <v>2000</v>
      </c>
      <c r="G1071" s="2189"/>
      <c r="I1071" s="1818" t="s">
        <v>1326</v>
      </c>
      <c r="K1071" s="1857" t="s">
        <v>4065</v>
      </c>
      <c r="O1071" s="1818" t="s">
        <v>3206</v>
      </c>
      <c r="Q1071" s="2194">
        <f>'Part VI-Revenues &amp; Expenses'!Q231</f>
        <v>37380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18.726591760299627</v>
      </c>
      <c r="L1072" s="2189">
        <f>'Part VI-Revenues &amp; Expenses'!L232</f>
        <v>20000</v>
      </c>
      <c r="M1072" s="2189"/>
      <c r="N1072" s="1719" t="str">
        <f>IF(Q1071&lt;Q1080, "WARNING! RR proposed is below the DCA required minimum.","")</f>
        <v/>
      </c>
      <c r="O1072" s="435" t="s">
        <v>4064</v>
      </c>
      <c r="Q1072" s="2195">
        <f>Q1071/P1080</f>
        <v>420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12000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4121</v>
      </c>
      <c r="K1074" s="2010">
        <f>L1074/12/P907</f>
        <v>11.235955056179776</v>
      </c>
      <c r="L1074" s="2189">
        <f>'Part VI-Revenues &amp; Expenses'!L234</f>
        <v>12000</v>
      </c>
      <c r="M1074" s="2189"/>
      <c r="N1074" s="1719"/>
      <c r="O1074" s="2197" t="s">
        <v>2561</v>
      </c>
      <c r="P1074" s="2198" t="s">
        <v>3420</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6691</v>
      </c>
    </row>
    <row r="1075" spans="1:380" s="1818" customFormat="1" ht="15.75" customHeight="1">
      <c r="B1075" s="1818" t="s">
        <v>1245</v>
      </c>
      <c r="D1075" s="2192"/>
      <c r="I1075" s="1818" t="s">
        <v>1322</v>
      </c>
      <c r="L1075" s="2189">
        <f>'Part VI-Revenues &amp; Expenses'!L235</f>
        <v>15000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15000</v>
      </c>
      <c r="G1076" s="2189"/>
      <c r="I1076" s="2193" t="str">
        <f>'Part VI-Revenues &amp; Expenses'!I236</f>
        <v>Other (describe here)</v>
      </c>
      <c r="J1076" s="2193"/>
      <c r="K1076" s="2193"/>
      <c r="L1076" s="2189">
        <f>'Part VI-Revenues &amp; Expenses'!L236</f>
        <v>0</v>
      </c>
      <c r="M1076" s="2189"/>
      <c r="N1076" s="1719"/>
      <c r="O1076" s="1864" t="s">
        <v>3172</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10000</v>
      </c>
      <c r="G1077" s="2189"/>
      <c r="K1077" s="2191" t="s">
        <v>183</v>
      </c>
      <c r="L1077" s="2174">
        <f>SUM(L1072:L1076)</f>
        <v>47000</v>
      </c>
      <c r="M1077" s="2174"/>
      <c r="N1077" s="1719"/>
      <c r="O1077" s="1864" t="s">
        <v>3171</v>
      </c>
      <c r="P1077" s="2199" t="str">
        <f>CONCATENATE(SUM(MK889:MO889)," units x $",'DCA Underwriting Assumptions'!$Q$69," =")</f>
        <v>89 units x $250 =</v>
      </c>
      <c r="Q1077" s="2199">
        <f>SUM(MK889:MO889)*'DCA Underwriting Assumptions'!$Q$69</f>
        <v>22250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12000</v>
      </c>
      <c r="G1078" s="2189"/>
      <c r="N1078" s="1719"/>
      <c r="O1078" s="1864" t="s">
        <v>6833</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10000</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6759</v>
      </c>
    </row>
    <row r="1080" spans="1:380" s="1818" customFormat="1" ht="15.6" customHeight="1">
      <c r="B1080" s="1818" t="s">
        <v>965</v>
      </c>
      <c r="D1080" s="2192"/>
      <c r="F1080" s="2189">
        <f>'Part VI-Revenues &amp; Expenses'!F240</f>
        <v>8500</v>
      </c>
      <c r="G1080" s="2189"/>
      <c r="I1080" s="1818" t="s">
        <v>1327</v>
      </c>
      <c r="O1080" s="2141" t="s">
        <v>2564</v>
      </c>
      <c r="P1080" s="2200">
        <f>SUM(MF889:MJ889)+SUM(MK889:MO889)+SUM(MP889:MT889)+P965</f>
        <v>89</v>
      </c>
      <c r="Q1080" s="2200">
        <f>SUM(Q1076:Q1079)</f>
        <v>22250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3500</v>
      </c>
      <c r="G1081" s="2189"/>
      <c r="I1081" s="1818" t="s">
        <v>7112</v>
      </c>
      <c r="L1081" s="2189">
        <f>'Part VI-Revenues &amp; Expenses'!L241</f>
        <v>133283</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3500</v>
      </c>
      <c r="G1082" s="2189"/>
      <c r="I1082" s="1818" t="s">
        <v>139</v>
      </c>
      <c r="L1082" s="2189">
        <f>'Part VI-Revenues &amp; Expenses'!L242</f>
        <v>38680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6760</v>
      </c>
    </row>
    <row r="1084" spans="1:380" s="1818" customFormat="1" ht="15.6" customHeight="1">
      <c r="E1084" s="2191" t="s">
        <v>183</v>
      </c>
      <c r="F1084" s="2171">
        <f>SUM(F1076:G1083)</f>
        <v>62500</v>
      </c>
      <c r="G1084" s="2171"/>
      <c r="K1084" s="2191" t="s">
        <v>183</v>
      </c>
      <c r="L1084" s="2174">
        <f>SUM(L1080:L1083)</f>
        <v>171963</v>
      </c>
      <c r="M1084" s="2174"/>
      <c r="O1084" s="1818" t="s">
        <v>2092</v>
      </c>
      <c r="Q1084" s="2174">
        <f>Q1065+Q1071</f>
        <v>482479</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4054</v>
      </c>
      <c r="C1088" s="2191"/>
      <c r="H1088" s="2152"/>
      <c r="I1088" s="2201" t="s">
        <v>4055</v>
      </c>
      <c r="K1088" s="2182">
        <f>'Part VI-Revenues &amp; Expenses'!K248</f>
        <v>0</v>
      </c>
      <c r="L1088" s="2182"/>
      <c r="M1088" s="2105" t="s">
        <v>4091</v>
      </c>
      <c r="N1088" s="2122">
        <f>'Part VI-Revenues &amp; Expenses'!N248</f>
        <v>0</v>
      </c>
      <c r="O1088" s="1818" t="s">
        <v>4057</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4092</v>
      </c>
      <c r="C1090" s="2191"/>
      <c r="F1090" s="2152"/>
      <c r="G1090" s="2152"/>
      <c r="J1090" s="2110" t="str">
        <f>'Part VI-Revenues &amp; Expenses'!J250</f>
        <v>&lt;&lt;Select&gt;&gt;</v>
      </c>
      <c r="K1090" s="2201" t="s">
        <v>4094</v>
      </c>
      <c r="L1090" s="2110" t="str">
        <f>'Part VI-Revenues &amp; Expenses'!L250</f>
        <v>&lt;&lt;Select&gt;&gt;</v>
      </c>
      <c r="M1090" s="2108" t="s">
        <v>4095</v>
      </c>
      <c r="N1090" s="2122">
        <f>'Part VI-Revenues &amp; Expenses'!N250</f>
        <v>0</v>
      </c>
      <c r="O1090" s="1818" t="s">
        <v>4093</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6761</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3525</v>
      </c>
      <c r="B1092" s="1852" t="s">
        <v>543</v>
      </c>
      <c r="N1092" s="1852" t="s">
        <v>4053</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Rents are within tax credit guidelines.  
The estimated TAXES and INSURANCE are prorated at 96.7% of the acutal estimated cost and are for the residential portion of the project only.   The applicant allocated 3.3% of the purchase price, taxes, insurance, etc. to the commercial portion of the project.  The total square footage for the building is 104,053. Residential units and common area consist of 100,650 square feet and there is an additional 3403 square feet of commercial space.    
REAL ESTATE TAXES
The applicant prepared an estimated 2021-2022 real estate tax expense calculation by using the purchase price of the proposed acquisition of $8,355,000 and the current Millage Rates approved by the City of East Point and Fulton County based on the 2020 Millage Rates.  The real estate taxes reflected in the expense portion above are for the residential portion of the project only.  Please see Tab 1 for documentation.  
INSURANCE 
The property insurance expense estimate was based on actual quoted numbers.  The insurance cost reflected in the expense portion above are for the residential portion only.  Please see Tab 1 for documentation.  
</v>
      </c>
      <c r="B1093" s="1956"/>
      <c r="C1093" s="1956"/>
      <c r="D1093" s="1956"/>
      <c r="E1093" s="1956"/>
      <c r="F1093" s="1956"/>
      <c r="G1093" s="1956"/>
      <c r="H1093" s="1956"/>
      <c r="I1093" s="1956"/>
      <c r="J1093" s="1956"/>
      <c r="K1093" s="1956"/>
      <c r="L1093" s="1956"/>
      <c r="M1093" s="1956"/>
      <c r="N1093" s="1956"/>
      <c r="O1093" s="1956"/>
      <c r="P1093" s="1956"/>
      <c r="Q1093" s="1956"/>
      <c r="R1093" s="1855" t="s">
        <v>3524</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2021-006 Wagon Works, ,  County</v>
      </c>
      <c r="B1098" s="1924"/>
      <c r="C1098" s="1924"/>
      <c r="D1098" s="1924"/>
      <c r="E1098" s="1924"/>
      <c r="F1098" s="1924"/>
      <c r="G1098" s="1924"/>
      <c r="H1098" s="1924"/>
      <c r="I1098" s="1924"/>
      <c r="J1098" s="1924"/>
      <c r="K1098" s="1924"/>
      <c r="L1098" s="1818"/>
      <c r="M1098" s="1818"/>
      <c r="N1098" s="1818" t="str">
        <f>A1098</f>
        <v>PART SEVEN - OPERATING PRO FORMA  -  2021-006 Wagon Works,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Application</v>
      </c>
      <c r="D1100" s="1852" t="s">
        <v>75</v>
      </c>
      <c r="E1100" s="2108"/>
      <c r="F1100" s="1859" t="s">
        <v>7039</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7113</v>
      </c>
      <c r="E1102" s="2158"/>
      <c r="F1102" s="2158"/>
      <c r="G1102" s="2204">
        <f>'Part VII-Pro Forma'!G6</f>
        <v>3000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2251</v>
      </c>
      <c r="K1106" s="2212">
        <f>'Part VII-Pro Forma'!K10</f>
        <v>0.05</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930540</v>
      </c>
      <c r="C1111" s="2213">
        <f>'Part VII-Pro Forma'!C15</f>
        <v>949150.8</v>
      </c>
      <c r="D1111" s="2213">
        <f>'Part VII-Pro Forma'!D15</f>
        <v>968133.81599999999</v>
      </c>
      <c r="E1111" s="2213">
        <f>'Part VII-Pro Forma'!E15</f>
        <v>987496.49231999996</v>
      </c>
      <c r="F1111" s="2213">
        <f>'Part VII-Pro Forma'!F15</f>
        <v>1007246.4221664</v>
      </c>
      <c r="G1111" s="2213">
        <f>'Part VII-Pro Forma'!G15</f>
        <v>1027391.350609728</v>
      </c>
      <c r="H1111" s="2213">
        <f>'Part VII-Pro Forma'!H15</f>
        <v>1047939.1776219226</v>
      </c>
      <c r="I1111" s="2213">
        <f>'Part VII-Pro Forma'!I15</f>
        <v>1068897.9611743609</v>
      </c>
      <c r="J1111" s="2213">
        <f>'Part VII-Pro Forma'!J15</f>
        <v>1090275.9203978481</v>
      </c>
      <c r="K1111" s="2213">
        <f>'Part VII-Pro Forma'!K15</f>
        <v>1112081.4388058051</v>
      </c>
      <c r="N1111" s="2043"/>
      <c r="O1111" s="2043"/>
      <c r="S1111" s="2114" t="s">
        <v>3561</v>
      </c>
      <c r="Z1111" s="1924" t="s">
        <v>6772</v>
      </c>
      <c r="AA1111" s="2051">
        <v>15</v>
      </c>
    </row>
    <row r="1112" spans="1:27" s="1852" customFormat="1" ht="13.35" customHeight="1">
      <c r="A1112" s="1852" t="s">
        <v>977</v>
      </c>
      <c r="B1112" s="2213">
        <f>'Part VII-Pro Forma'!B16</f>
        <v>18610.8</v>
      </c>
      <c r="C1112" s="2213">
        <f>'Part VII-Pro Forma'!C16</f>
        <v>18983.016</v>
      </c>
      <c r="D1112" s="2213">
        <f>'Part VII-Pro Forma'!D16</f>
        <v>19362.676319999999</v>
      </c>
      <c r="E1112" s="2213">
        <f>'Part VII-Pro Forma'!E16</f>
        <v>19749.929846399998</v>
      </c>
      <c r="F1112" s="2213">
        <f>'Part VII-Pro Forma'!F16</f>
        <v>20144.928443327997</v>
      </c>
      <c r="G1112" s="2213">
        <f>'Part VII-Pro Forma'!G16</f>
        <v>20547.827012194561</v>
      </c>
      <c r="H1112" s="2213">
        <f>'Part VII-Pro Forma'!H16</f>
        <v>20958.78355243845</v>
      </c>
      <c r="I1112" s="2213">
        <f>'Part VII-Pro Forma'!I16</f>
        <v>21377.959223487214</v>
      </c>
      <c r="J1112" s="2213">
        <f>'Part VII-Pro Forma'!J16</f>
        <v>21805.518407956963</v>
      </c>
      <c r="K1112" s="2213">
        <f>'Part VII-Pro Forma'!K16</f>
        <v>22241.6287761161</v>
      </c>
      <c r="N1112" s="2043"/>
      <c r="O1112" s="2043"/>
      <c r="S1112" s="2114"/>
      <c r="Z1112" s="1924" t="s">
        <v>6772</v>
      </c>
      <c r="AA1112" s="2051">
        <v>16</v>
      </c>
    </row>
    <row r="1113" spans="1:27" s="1852" customFormat="1" ht="13.35" customHeight="1">
      <c r="A1113" s="1852" t="s">
        <v>2295</v>
      </c>
      <c r="B1113" s="2213">
        <f>'Part VII-Pro Forma'!B17</f>
        <v>-66440.556000000011</v>
      </c>
      <c r="C1113" s="2213">
        <f>'Part VII-Pro Forma'!C17</f>
        <v>-67769.36712000001</v>
      </c>
      <c r="D1113" s="2213">
        <f>'Part VII-Pro Forma'!D17</f>
        <v>-69124.7544624</v>
      </c>
      <c r="E1113" s="2213">
        <f>'Part VII-Pro Forma'!E17</f>
        <v>-70507.249551648012</v>
      </c>
      <c r="F1113" s="2213">
        <f>'Part VII-Pro Forma'!F17</f>
        <v>-71917.394542680966</v>
      </c>
      <c r="G1113" s="2213">
        <f>'Part VII-Pro Forma'!G17</f>
        <v>-73355.742433534586</v>
      </c>
      <c r="H1113" s="2213">
        <f>'Part VII-Pro Forma'!H17</f>
        <v>-74822.857282205267</v>
      </c>
      <c r="I1113" s="2213">
        <f>'Part VII-Pro Forma'!I17</f>
        <v>-76319.314427849371</v>
      </c>
      <c r="J1113" s="2213">
        <f>'Part VII-Pro Forma'!J17</f>
        <v>-77845.700716406354</v>
      </c>
      <c r="K1113" s="2213">
        <f>'Part VII-Pro Forma'!K17</f>
        <v>-79402.61473073448</v>
      </c>
      <c r="N1113" s="2043"/>
      <c r="O1113" s="2043"/>
      <c r="Q1113" s="2114" t="s">
        <v>3438</v>
      </c>
      <c r="R1113" s="2114" t="s">
        <v>3560</v>
      </c>
      <c r="S1113" s="2114"/>
      <c r="Z1113" s="1924" t="s">
        <v>6772</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6772</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6772</v>
      </c>
      <c r="AA1115" s="1929">
        <v>19</v>
      </c>
    </row>
    <row r="1116" spans="1:27" s="1852" customFormat="1" ht="13.35" customHeight="1">
      <c r="A1116" s="1852" t="s">
        <v>4014</v>
      </c>
      <c r="B1116" s="2213">
        <f>'Part VII-Pro Forma'!B20</f>
        <v>882710.24400000006</v>
      </c>
      <c r="C1116" s="2213">
        <f>'Part VII-Pro Forma'!C20</f>
        <v>900364.44888000004</v>
      </c>
      <c r="D1116" s="2213">
        <f>'Part VII-Pro Forma'!D20</f>
        <v>918371.73785759998</v>
      </c>
      <c r="E1116" s="2213">
        <f>'Part VII-Pro Forma'!E20</f>
        <v>936739.17261475197</v>
      </c>
      <c r="F1116" s="2213">
        <f>'Part VII-Pro Forma'!F20</f>
        <v>955473.95606704708</v>
      </c>
      <c r="G1116" s="2213">
        <f>'Part VII-Pro Forma'!G20</f>
        <v>974583.43518838799</v>
      </c>
      <c r="H1116" s="2213">
        <f>'Part VII-Pro Forma'!H20</f>
        <v>994075.10389215569</v>
      </c>
      <c r="I1116" s="2213">
        <f>'Part VII-Pro Forma'!I20</f>
        <v>1013956.6059699988</v>
      </c>
      <c r="J1116" s="2213">
        <f>'Part VII-Pro Forma'!J20</f>
        <v>1034235.7380893987</v>
      </c>
      <c r="K1116" s="2213">
        <f>'Part VII-Pro Forma'!K20</f>
        <v>1054920.4528511867</v>
      </c>
      <c r="N1116" s="2043"/>
      <c r="O1116" s="2043"/>
      <c r="Z1116" s="1924" t="s">
        <v>6772</v>
      </c>
      <c r="AA1116" s="2051">
        <v>20</v>
      </c>
    </row>
    <row r="1117" spans="1:27" s="1852" customFormat="1" ht="13.35" customHeight="1">
      <c r="A1117" s="1852" t="s">
        <v>585</v>
      </c>
      <c r="B1117" s="2213">
        <f>'Part VII-Pro Forma'!B21</f>
        <v>-400963</v>
      </c>
      <c r="C1117" s="2213">
        <f>'Part VII-Pro Forma'!C21</f>
        <v>-412991.89</v>
      </c>
      <c r="D1117" s="2213">
        <f>'Part VII-Pro Forma'!D21</f>
        <v>-425381.64669999998</v>
      </c>
      <c r="E1117" s="2213">
        <f>'Part VII-Pro Forma'!E21</f>
        <v>-438143.09610099997</v>
      </c>
      <c r="F1117" s="2213">
        <f>'Part VII-Pro Forma'!F21</f>
        <v>-451287.38898402994</v>
      </c>
      <c r="G1117" s="2213">
        <f>'Part VII-Pro Forma'!G21</f>
        <v>-464826.01065355085</v>
      </c>
      <c r="H1117" s="2213">
        <f>'Part VII-Pro Forma'!H21</f>
        <v>-478770.79097315739</v>
      </c>
      <c r="I1117" s="2213">
        <f>'Part VII-Pro Forma'!I21</f>
        <v>-493133.91470235214</v>
      </c>
      <c r="J1117" s="2213">
        <f>'Part VII-Pro Forma'!J21</f>
        <v>-507927.93214342266</v>
      </c>
      <c r="K1117" s="2213">
        <f>'Part VII-Pro Forma'!K21</f>
        <v>-523165.77010772534</v>
      </c>
      <c r="N1117" s="2043"/>
      <c r="O1117" s="2043"/>
      <c r="Q1117" s="2051">
        <v>1</v>
      </c>
      <c r="R1117" s="2140">
        <f>-B1128</f>
        <v>67548</v>
      </c>
      <c r="S1117" s="2140">
        <f>B1129+R1117</f>
        <v>67547.567229531938</v>
      </c>
      <c r="Z1117" s="1924" t="s">
        <v>6772</v>
      </c>
      <c r="AA1117" s="2051">
        <v>21</v>
      </c>
    </row>
    <row r="1118" spans="1:27" s="1852" customFormat="1" ht="13.35" customHeight="1">
      <c r="A1118" s="1852" t="s">
        <v>1075</v>
      </c>
      <c r="B1118" s="2213">
        <f>'Part VII-Pro Forma'!B22</f>
        <v>-44136</v>
      </c>
      <c r="C1118" s="2213">
        <f>'Part VII-Pro Forma'!C22</f>
        <v>-45018</v>
      </c>
      <c r="D1118" s="2213">
        <f>'Part VII-Pro Forma'!D22</f>
        <v>-45919</v>
      </c>
      <c r="E1118" s="2213">
        <f>'Part VII-Pro Forma'!E22</f>
        <v>-46837</v>
      </c>
      <c r="F1118" s="2213">
        <f>'Part VII-Pro Forma'!F22</f>
        <v>-47774</v>
      </c>
      <c r="G1118" s="2213">
        <f>'Part VII-Pro Forma'!G22</f>
        <v>-48729</v>
      </c>
      <c r="H1118" s="2213">
        <f>'Part VII-Pro Forma'!H22</f>
        <v>-49704</v>
      </c>
      <c r="I1118" s="2213">
        <f>'Part VII-Pro Forma'!I22</f>
        <v>-50698</v>
      </c>
      <c r="J1118" s="2213">
        <f>'Part VII-Pro Forma'!J22</f>
        <v>-51712</v>
      </c>
      <c r="K1118" s="2213">
        <f>'Part VII-Pro Forma'!K22</f>
        <v>-52746</v>
      </c>
      <c r="N1118" s="2043"/>
      <c r="O1118" s="2043"/>
      <c r="Q1118" s="2051">
        <v>2</v>
      </c>
      <c r="R1118" s="2140">
        <f>-SUM(B1128:C1128)</f>
        <v>138717</v>
      </c>
      <c r="S1118" s="2140">
        <f>SUM(B1129:C1129)+R1118</f>
        <v>138717.04933906381</v>
      </c>
      <c r="Z1118" s="1924" t="s">
        <v>6772</v>
      </c>
      <c r="AA1118" s="2051">
        <v>22</v>
      </c>
    </row>
    <row r="1119" spans="1:27" s="1852" customFormat="1" ht="13.35" customHeight="1">
      <c r="A1119" s="1852" t="s">
        <v>1156</v>
      </c>
      <c r="B1119" s="2213">
        <f>'Part VII-Pro Forma'!B23</f>
        <v>-37380</v>
      </c>
      <c r="C1119" s="2213">
        <f>'Part VII-Pro Forma'!C23</f>
        <v>-38501.4</v>
      </c>
      <c r="D1119" s="2213">
        <f>'Part VII-Pro Forma'!D23</f>
        <v>-39656.441999999995</v>
      </c>
      <c r="E1119" s="2213">
        <f>'Part VII-Pro Forma'!E23</f>
        <v>-40846.135260000003</v>
      </c>
      <c r="F1119" s="2213">
        <f>'Part VII-Pro Forma'!F23</f>
        <v>-42071.519317799997</v>
      </c>
      <c r="G1119" s="2213">
        <f>'Part VII-Pro Forma'!G23</f>
        <v>-43333.664897333991</v>
      </c>
      <c r="H1119" s="2213">
        <f>'Part VII-Pro Forma'!H23</f>
        <v>-44633.674844254019</v>
      </c>
      <c r="I1119" s="2213">
        <f>'Part VII-Pro Forma'!I23</f>
        <v>-45972.685089581639</v>
      </c>
      <c r="J1119" s="2213">
        <f>'Part VII-Pro Forma'!J23</f>
        <v>-47351.865642269084</v>
      </c>
      <c r="K1119" s="2213">
        <f>'Part VII-Pro Forma'!K23</f>
        <v>-48772.42161153716</v>
      </c>
      <c r="N1119" s="2043"/>
      <c r="O1119" s="2043"/>
      <c r="Q1119" s="2051">
        <v>3</v>
      </c>
      <c r="R1119" s="2140">
        <f>-SUM(B1128:D1128)</f>
        <v>213448</v>
      </c>
      <c r="S1119" s="2140">
        <f>SUM(B1129:D1129)+R1119</f>
        <v>213448.0217261957</v>
      </c>
      <c r="Z1119" s="1924" t="s">
        <v>6772</v>
      </c>
      <c r="AA1119" s="2051">
        <v>23</v>
      </c>
    </row>
    <row r="1120" spans="1:27" s="1852" customFormat="1" ht="13.35" customHeight="1">
      <c r="A1120" s="1852" t="s">
        <v>4013</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291677</v>
      </c>
      <c r="S1120" s="2140">
        <f>SUM(B1129:E1129)+R1120</f>
        <v>291677.28620947956</v>
      </c>
      <c r="Z1120" s="1924" t="s">
        <v>6772</v>
      </c>
      <c r="AA1120" s="1929">
        <v>24</v>
      </c>
    </row>
    <row r="1121" spans="1:27" s="1852" customFormat="1" ht="13.35" customHeight="1">
      <c r="A1121" s="1852" t="s">
        <v>1157</v>
      </c>
      <c r="B1121" s="2213">
        <f>'Part VII-Pro Forma'!B25</f>
        <v>400231.24400000006</v>
      </c>
      <c r="C1121" s="2213">
        <f>'Part VII-Pro Forma'!C25</f>
        <v>403853.15888</v>
      </c>
      <c r="D1121" s="2213">
        <f>'Part VII-Pro Forma'!D25</f>
        <v>407414.64915760001</v>
      </c>
      <c r="E1121" s="2213">
        <f>'Part VII-Pro Forma'!E25</f>
        <v>410912.94125375198</v>
      </c>
      <c r="F1121" s="2213">
        <f>'Part VII-Pro Forma'!F25</f>
        <v>414341.04776521714</v>
      </c>
      <c r="G1121" s="2213">
        <f>'Part VII-Pro Forma'!G25</f>
        <v>417694.75963750313</v>
      </c>
      <c r="H1121" s="2213">
        <f>'Part VII-Pro Forma'!H25</f>
        <v>420966.63807474426</v>
      </c>
      <c r="I1121" s="2213">
        <f>'Part VII-Pro Forma'!I25</f>
        <v>424152.00617806497</v>
      </c>
      <c r="J1121" s="2213">
        <f>'Part VII-Pro Forma'!J25</f>
        <v>427243.94030370697</v>
      </c>
      <c r="K1121" s="2213">
        <f>'Part VII-Pro Forma'!K25</f>
        <v>430236.26113192417</v>
      </c>
      <c r="N1121" s="2043"/>
      <c r="O1121" s="2043"/>
      <c r="Q1121" s="2051">
        <v>5</v>
      </c>
      <c r="R1121" s="2140">
        <f>-SUM(B1128:F1128)</f>
        <v>373334</v>
      </c>
      <c r="S1121" s="2140">
        <f>SUM(B1129:F1129)+R1121</f>
        <v>373334.65720422857</v>
      </c>
      <c r="Z1121" s="1924" t="s">
        <v>6772</v>
      </c>
      <c r="AA1121" s="2051">
        <v>25</v>
      </c>
    </row>
    <row r="1122" spans="1:27" s="1852" customFormat="1" ht="13.35" customHeight="1">
      <c r="A1122" s="1852" t="s">
        <v>1525</v>
      </c>
      <c r="B1122" s="2214">
        <f>'Part VII-Pro Forma'!B26</f>
        <v>-329683.67677046813</v>
      </c>
      <c r="C1122" s="2214">
        <f>'Part VII-Pro Forma'!C26</f>
        <v>-329683.67677046813</v>
      </c>
      <c r="D1122" s="2214">
        <f>'Part VII-Pro Forma'!D26</f>
        <v>-329683.67677046813</v>
      </c>
      <c r="E1122" s="2214">
        <f>'Part VII-Pro Forma'!E26</f>
        <v>-329683.67677046813</v>
      </c>
      <c r="F1122" s="2214">
        <f>'Part VII-Pro Forma'!F26</f>
        <v>-329683.67677046813</v>
      </c>
      <c r="G1122" s="2214">
        <f>'Part VII-Pro Forma'!G26</f>
        <v>-329683.67677046813</v>
      </c>
      <c r="H1122" s="2214">
        <f>'Part VII-Pro Forma'!H26</f>
        <v>-329683.67677046813</v>
      </c>
      <c r="I1122" s="2214">
        <f>'Part VII-Pro Forma'!I26</f>
        <v>-329683.67677046813</v>
      </c>
      <c r="J1122" s="2214">
        <f>'Part VII-Pro Forma'!J26</f>
        <v>-329683.67677046813</v>
      </c>
      <c r="K1122" s="2214">
        <f>'Part VII-Pro Forma'!K26</f>
        <v>-329683.67677046813</v>
      </c>
      <c r="N1122" s="2043"/>
      <c r="O1122" s="2043"/>
      <c r="Q1122" s="2051">
        <v>6</v>
      </c>
      <c r="R1122" s="2140">
        <f>-SUM(B1128:G1128)</f>
        <v>458345</v>
      </c>
      <c r="S1122" s="2140">
        <f>SUM(B1129:G1129)+R1122</f>
        <v>458345.74007126357</v>
      </c>
      <c r="Z1122" s="1924" t="s">
        <v>6772</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464780</v>
      </c>
      <c r="S1123" s="2140">
        <f>SUM(B1129:H1129)+R1123</f>
        <v>546628.70137553965</v>
      </c>
      <c r="Z1123" s="1924" t="s">
        <v>6772</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464780</v>
      </c>
      <c r="S1124" s="2140">
        <f>SUM(B1129:I1129)+R1124</f>
        <v>638097.03078313661</v>
      </c>
      <c r="Z1124" s="1924" t="s">
        <v>6772</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464780</v>
      </c>
      <c r="S1125" s="2140">
        <f>SUM(B1129:J1129)+R1125</f>
        <v>732657.2943163754</v>
      </c>
      <c r="Z1125" s="1924" t="s">
        <v>6772</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464780</v>
      </c>
      <c r="S1126" s="2140">
        <f>SUM(B1129:K1129)+R1126</f>
        <v>830209.8786778315</v>
      </c>
      <c r="Z1126" s="1924" t="s">
        <v>6772</v>
      </c>
      <c r="AA1126" s="2051">
        <v>30</v>
      </c>
    </row>
    <row r="1127" spans="1:27" s="1852" customFormat="1" ht="13.35" customHeight="1">
      <c r="A1127" s="1852" t="s">
        <v>1121</v>
      </c>
      <c r="B1127" s="2214">
        <f>'Part VII-Pro Forma'!B31</f>
        <v>-3000</v>
      </c>
      <c r="C1127" s="2214">
        <f>'Part VII-Pro Forma'!C31</f>
        <v>-3000</v>
      </c>
      <c r="D1127" s="2214">
        <f>'Part VII-Pro Forma'!D31</f>
        <v>-3000</v>
      </c>
      <c r="E1127" s="2214">
        <f>'Part VII-Pro Forma'!E31</f>
        <v>-3000</v>
      </c>
      <c r="F1127" s="2214">
        <f>'Part VII-Pro Forma'!F31</f>
        <v>-3000</v>
      </c>
      <c r="G1127" s="2214">
        <f>'Part VII-Pro Forma'!G31</f>
        <v>-3000</v>
      </c>
      <c r="H1127" s="2214">
        <f>'Part VII-Pro Forma'!H31</f>
        <v>-3000</v>
      </c>
      <c r="I1127" s="2214">
        <f>'Part VII-Pro Forma'!I31</f>
        <v>-3000</v>
      </c>
      <c r="J1127" s="2214">
        <f>'Part VII-Pro Forma'!J31</f>
        <v>-3000</v>
      </c>
      <c r="K1127" s="2214">
        <f>'Part VII-Pro Forma'!K31</f>
        <v>-3000</v>
      </c>
      <c r="N1127" s="2043"/>
      <c r="O1127" s="2043"/>
      <c r="Q1127" s="2051">
        <v>11</v>
      </c>
      <c r="R1127" s="2140">
        <f>-SUM(B1128:K1128)-B1160</f>
        <v>464780</v>
      </c>
      <c r="S1127" s="2140">
        <f>SUM(B1129:K1129)+B1161+R1127</f>
        <v>930647.7263447335</v>
      </c>
      <c r="Z1127" s="1924" t="s">
        <v>6772</v>
      </c>
      <c r="AA1127" s="2051">
        <v>31</v>
      </c>
    </row>
    <row r="1128" spans="1:27" s="1852" customFormat="1" ht="13.35" customHeight="1">
      <c r="A1128" s="1852" t="s">
        <v>3509</v>
      </c>
      <c r="B1128" s="2214">
        <f>'Part VII-Pro Forma'!B32</f>
        <v>-67548</v>
      </c>
      <c r="C1128" s="2214">
        <f>'Part VII-Pro Forma'!C32</f>
        <v>-71169</v>
      </c>
      <c r="D1128" s="2214">
        <f>'Part VII-Pro Forma'!D32</f>
        <v>-74731</v>
      </c>
      <c r="E1128" s="2214">
        <f>'Part VII-Pro Forma'!E32</f>
        <v>-78229</v>
      </c>
      <c r="F1128" s="2214">
        <f>'Part VII-Pro Forma'!F32</f>
        <v>-81657</v>
      </c>
      <c r="G1128" s="2214">
        <f>'Part VII-Pro Forma'!G32</f>
        <v>-85011</v>
      </c>
      <c r="H1128" s="2214">
        <f>'Part VII-Pro Forma'!H32</f>
        <v>-6435</v>
      </c>
      <c r="I1128" s="2214">
        <f>'Part VII-Pro Forma'!I32</f>
        <v>0</v>
      </c>
      <c r="J1128" s="2214">
        <f>'Part VII-Pro Forma'!J32</f>
        <v>0</v>
      </c>
      <c r="K1128" s="2214">
        <f>'Part VII-Pro Forma'!K32</f>
        <v>0</v>
      </c>
      <c r="N1128" s="2043"/>
      <c r="O1128" s="2043"/>
      <c r="Q1128" s="2051">
        <v>12</v>
      </c>
      <c r="R1128" s="2140">
        <f>-SUM(B1128:K1128) - SUM(B1160:C1160)</f>
        <v>464780</v>
      </c>
      <c r="S1128" s="2140">
        <f>SUM(B1129:K1129) + SUM(B1161:C1161)+R1128</f>
        <v>1033857.0611256744</v>
      </c>
      <c r="Z1128" s="1924" t="s">
        <v>6772</v>
      </c>
      <c r="AA1128" s="2051">
        <v>32</v>
      </c>
    </row>
    <row r="1129" spans="1:27" s="1852" customFormat="1" ht="13.35" customHeight="1">
      <c r="A1129" s="1852" t="s">
        <v>1122</v>
      </c>
      <c r="B1129" s="2213">
        <f>'Part VII-Pro Forma'!B33</f>
        <v>-0.43277046806178987</v>
      </c>
      <c r="C1129" s="2213">
        <f>'Part VII-Pro Forma'!C33</f>
        <v>0.48210953187663108</v>
      </c>
      <c r="D1129" s="2213">
        <f>'Part VII-Pro Forma'!D33</f>
        <v>-2.7612868114374578E-2</v>
      </c>
      <c r="E1129" s="2213">
        <f>'Part VII-Pro Forma'!E33</f>
        <v>0.26448328385595232</v>
      </c>
      <c r="F1129" s="2213">
        <f>'Part VII-Pro Forma'!F33</f>
        <v>0.37099474901333451</v>
      </c>
      <c r="G1129" s="2213">
        <f>'Part VII-Pro Forma'!G33</f>
        <v>8.2867035001982003E-2</v>
      </c>
      <c r="H1129" s="2213">
        <f>'Part VII-Pro Forma'!H33</f>
        <v>81847.961304276134</v>
      </c>
      <c r="I1129" s="2213">
        <f>'Part VII-Pro Forma'!I33</f>
        <v>91468.329407596844</v>
      </c>
      <c r="J1129" s="2213">
        <f>'Part VII-Pro Forma'!J33</f>
        <v>94560.263533238845</v>
      </c>
      <c r="K1129" s="2213">
        <f>'Part VII-Pro Forma'!K33</f>
        <v>97552.584361456044</v>
      </c>
      <c r="N1129" s="2043"/>
      <c r="O1129" s="2043"/>
      <c r="Q1129" s="2051">
        <v>13</v>
      </c>
      <c r="R1129" s="2140">
        <f>-SUM(B1128:K1128) - SUM(B1160:D1160)</f>
        <v>464780</v>
      </c>
      <c r="S1129" s="2140">
        <f>SUM(B1129:K1129) + SUM(B1161:D1161)+R1129</f>
        <v>1139716.1038616942</v>
      </c>
      <c r="Z1129" s="1924" t="s">
        <v>6772</v>
      </c>
      <c r="AA1129" s="1929">
        <v>33</v>
      </c>
    </row>
    <row r="1130" spans="1:27" s="1852" customFormat="1" ht="13.35" customHeight="1">
      <c r="A1130" s="1852" t="str">
        <f>IF('Part III-Sources of Funds'!$E$40 = "Neither", "", "DCR Mortgage A")</f>
        <v>DCR Mortgage A</v>
      </c>
      <c r="B1130" s="2215">
        <f>'Part VII-Pro Forma'!B34</f>
        <v>1.2139856237973483</v>
      </c>
      <c r="C1130" s="2215">
        <f>'Part VII-Pro Forma'!C34</f>
        <v>1.2249716541506848</v>
      </c>
      <c r="D1130" s="2215">
        <f>'Part VII-Pro Forma'!D34</f>
        <v>1.2357744039637413</v>
      </c>
      <c r="E1130" s="2215">
        <f>'Part VII-Pro Forma'!E34</f>
        <v>1.2463854603873432</v>
      </c>
      <c r="F1130" s="2215">
        <f>'Part VII-Pro Forma'!F34</f>
        <v>1.2567836291564081</v>
      </c>
      <c r="G1130" s="2215">
        <f>'Part VII-Pro Forma'!G34</f>
        <v>1.2669561433225278</v>
      </c>
      <c r="H1130" s="2215">
        <f>'Part VII-Pro Forma'!H34</f>
        <v>1.2768804394517506</v>
      </c>
      <c r="I1130" s="2215">
        <f>'Part VII-Pro Forma'!I34</f>
        <v>1.286542331525159</v>
      </c>
      <c r="J1130" s="2215">
        <f>'Part VII-Pro Forma'!J34</f>
        <v>1.2959208186735982</v>
      </c>
      <c r="K1130" s="2215">
        <f>'Part VII-Pro Forma'!K34</f>
        <v>1.3049971577193451</v>
      </c>
      <c r="N1130" s="2043"/>
      <c r="O1130" s="2043"/>
      <c r="Q1130" s="2051">
        <v>14</v>
      </c>
      <c r="R1130" s="2140">
        <f>-SUM(B1128:K1128) - SUM(B1160:E1160)</f>
        <v>464780</v>
      </c>
      <c r="S1130" s="2140">
        <f>SUM(B1129:K1129) + SUM(B1161:E1161)+R1130</f>
        <v>1248096.7779436153</v>
      </c>
      <c r="Z1130" s="1924" t="s">
        <v>6772</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464780</v>
      </c>
      <c r="S1131" s="2140">
        <f>SUM(B1129:K1129) + SUM(B1161:F1161)+R1131</f>
        <v>1358861.4043070294</v>
      </c>
      <c r="Z1131" s="1924" t="s">
        <v>6772</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464780</v>
      </c>
      <c r="S1132" s="2140">
        <f>SUM(B1129:K1129) + SUM(B1161:G1161)+R1132</f>
        <v>1471864.3855554992</v>
      </c>
      <c r="Z1132" s="1924" t="s">
        <v>6772</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464780</v>
      </c>
      <c r="S1133" s="2140">
        <f>SUM(B1129:K1129) + SUM(B1161:H1161)+R1133</f>
        <v>1586951.8788513974</v>
      </c>
      <c r="Z1133" s="1924" t="s">
        <v>6772</v>
      </c>
      <c r="AA1133" s="2051">
        <v>37</v>
      </c>
    </row>
    <row r="1134" spans="1:27" s="1852" customFormat="1" ht="13.35" customHeight="1">
      <c r="A1134" s="1852" t="s">
        <v>3344</v>
      </c>
      <c r="B1134" s="2215">
        <f>'Part VII-Pro Forma'!B38</f>
        <v>1.2139856237973483</v>
      </c>
      <c r="C1134" s="2215">
        <f>'Part VII-Pro Forma'!C38</f>
        <v>1.2249716541506848</v>
      </c>
      <c r="D1134" s="2215">
        <f>'Part VII-Pro Forma'!D38</f>
        <v>1.2357744039637413</v>
      </c>
      <c r="E1134" s="2215">
        <f>'Part VII-Pro Forma'!E38</f>
        <v>1.2463854603873432</v>
      </c>
      <c r="F1134" s="2215">
        <f>'Part VII-Pro Forma'!F38</f>
        <v>1.2567836291564081</v>
      </c>
      <c r="G1134" s="2215">
        <f>'Part VII-Pro Forma'!G38</f>
        <v>1.2669561433225278</v>
      </c>
      <c r="H1134" s="2215">
        <f>'Part VII-Pro Forma'!H38</f>
        <v>1.2768804394517506</v>
      </c>
      <c r="I1134" s="2215">
        <f>'Part VII-Pro Forma'!I38</f>
        <v>1.286542331525159</v>
      </c>
      <c r="J1134" s="2215">
        <f>'Part VII-Pro Forma'!J38</f>
        <v>1.2959208186735982</v>
      </c>
      <c r="K1134" s="2215">
        <f>'Part VII-Pro Forma'!K38</f>
        <v>1.3049971577193451</v>
      </c>
      <c r="N1134" s="2043"/>
      <c r="O1134" s="2043"/>
      <c r="Q1134" s="2051">
        <v>18</v>
      </c>
      <c r="R1134" s="2140">
        <f>-SUM(B1128:K1128) - SUM(B1160:I1160)</f>
        <v>464780</v>
      </c>
      <c r="S1134" s="2140">
        <f>SUM(B1129:K1129) + SUM(B1161:I1161)+R1134</f>
        <v>1703961.4572022844</v>
      </c>
      <c r="Z1134" s="1924" t="s">
        <v>6772</v>
      </c>
      <c r="AA1134" s="2051">
        <v>38</v>
      </c>
    </row>
    <row r="1135" spans="1:27" s="1852" customFormat="1" ht="13.35" customHeight="1">
      <c r="A1135" s="1852" t="s">
        <v>740</v>
      </c>
      <c r="B1135" s="2215">
        <f>'Part VII-Pro Forma'!B39</f>
        <v>1.8295309101536026</v>
      </c>
      <c r="C1135" s="2215">
        <f>'Part VII-Pro Forma'!C39</f>
        <v>1.8133816229636994</v>
      </c>
      <c r="D1135" s="2215">
        <f>'Part VII-Pro Forma'!D39</f>
        <v>1.7973558996787045</v>
      </c>
      <c r="E1135" s="2215">
        <f>'Part VII-Pro Forma'!E39</f>
        <v>1.7814614729093734</v>
      </c>
      <c r="F1135" s="2215">
        <f>'Part VII-Pro Forma'!F39</f>
        <v>1.7656918317266863</v>
      </c>
      <c r="G1135" s="2215">
        <f>'Part VII-Pro Forma'!G39</f>
        <v>1.7500507336126232</v>
      </c>
      <c r="H1135" s="2215">
        <f>'Part VII-Pro Forma'!H39</f>
        <v>1.7345322276374495</v>
      </c>
      <c r="I1135" s="2215">
        <f>'Part VII-Pro Forma'!I39</f>
        <v>1.7191398750157147</v>
      </c>
      <c r="J1135" s="2215">
        <f>'Part VII-Pro Forma'!J39</f>
        <v>1.7038710273553852</v>
      </c>
      <c r="K1135" s="2215">
        <f>'Part VII-Pro Forma'!K39</f>
        <v>1.6887260264227648</v>
      </c>
      <c r="N1135" s="2043"/>
      <c r="O1135" s="2043"/>
      <c r="Q1135" s="2051">
        <v>19</v>
      </c>
      <c r="R1135" s="2140">
        <f>-SUM(B1128:K1128) - SUM(B1160:J1160)</f>
        <v>464780</v>
      </c>
      <c r="S1135" s="2140">
        <f>SUM(B1129:K1129) + SUM(B1161:J1161)+R1135</f>
        <v>1822719.7587588693</v>
      </c>
      <c r="Z1135" s="1924" t="s">
        <v>6772</v>
      </c>
      <c r="AA1135" s="2051">
        <v>39</v>
      </c>
    </row>
    <row r="1136" spans="1:27" s="1852" customFormat="1" ht="13.35" customHeight="1">
      <c r="A1136" s="1852" t="s">
        <v>2493</v>
      </c>
      <c r="B1136" s="2214">
        <f>'Part VII-Pro Forma'!B40</f>
        <v>5923844.2353685256</v>
      </c>
      <c r="C1136" s="2214">
        <f>'Part VII-Pro Forma'!C40</f>
        <v>5844388.0538141103</v>
      </c>
      <c r="D1136" s="2214">
        <f>'Part VII-Pro Forma'!D40</f>
        <v>5761488.4228044441</v>
      </c>
      <c r="E1136" s="2214">
        <f>'Part VII-Pro Forma'!E40</f>
        <v>5674996.1111039091</v>
      </c>
      <c r="F1136" s="2214">
        <f>'Part VII-Pro Forma'!F40</f>
        <v>5584755.420135933</v>
      </c>
      <c r="G1136" s="2214">
        <f>'Part VII-Pro Forma'!G40</f>
        <v>5490603.9037032034</v>
      </c>
      <c r="H1136" s="2214">
        <f>'Part VII-Pro Forma'!H40</f>
        <v>5392372.0755611919</v>
      </c>
      <c r="I1136" s="2214">
        <f>'Part VII-Pro Forma'!I40</f>
        <v>5289883.1043185871</v>
      </c>
      <c r="J1136" s="2214">
        <f>'Part VII-Pro Forma'!J40</f>
        <v>5182952.4951154059</v>
      </c>
      <c r="K1136" s="2214">
        <f>'Part VII-Pro Forma'!K40</f>
        <v>5071387.7575057624</v>
      </c>
      <c r="N1136" s="2043"/>
      <c r="O1136" s="2043"/>
      <c r="Q1136" s="2051">
        <v>20</v>
      </c>
      <c r="R1136" s="2140">
        <f>-SUM(B1128:K1128) - SUM(B1160:K1160)</f>
        <v>464780</v>
      </c>
      <c r="S1136" s="2140">
        <f>SUM(B1129:K1129) + SUM(B1161:K1161)+R1136</f>
        <v>1943044.1237283645</v>
      </c>
      <c r="Z1136" s="1924" t="s">
        <v>6772</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6772</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6772</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6772</v>
      </c>
      <c r="AA1139" s="2051">
        <v>43</v>
      </c>
    </row>
    <row r="1140" spans="1:27" s="1852" customFormat="1" ht="13.35" customHeight="1">
      <c r="A1140" s="1852" t="s">
        <v>3510</v>
      </c>
      <c r="B1140" s="2214">
        <f>'Part VII-Pro Forma'!B44</f>
        <v>397232</v>
      </c>
      <c r="C1140" s="2214">
        <f>'Part VII-Pro Forma'!C44</f>
        <v>326063</v>
      </c>
      <c r="D1140" s="2214">
        <f>'Part VII-Pro Forma'!D44</f>
        <v>251332</v>
      </c>
      <c r="E1140" s="2214">
        <f>'Part VII-Pro Forma'!E44</f>
        <v>173103</v>
      </c>
      <c r="F1140" s="2214">
        <f>'Part VII-Pro Forma'!F44</f>
        <v>91446</v>
      </c>
      <c r="G1140" s="2214">
        <f>'Part VII-Pro Forma'!G44</f>
        <v>6435</v>
      </c>
      <c r="H1140" s="2214">
        <f>'Part VII-Pro Forma'!H44</f>
        <v>0</v>
      </c>
      <c r="I1140" s="2214">
        <f>'Part VII-Pro Forma'!I44</f>
        <v>0</v>
      </c>
      <c r="J1140" s="2214">
        <f>'Part VII-Pro Forma'!J44</f>
        <v>0</v>
      </c>
      <c r="K1140" s="2214">
        <f>'Part VII-Pro Forma'!K44</f>
        <v>0</v>
      </c>
      <c r="N1140" s="2043"/>
      <c r="O1140" s="2043"/>
      <c r="Z1140" s="1924" t="s">
        <v>6772</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1134323.0675819214</v>
      </c>
      <c r="C1143" s="2213">
        <f>'Part VII-Pro Forma'!C47</f>
        <v>1157009.5289335595</v>
      </c>
      <c r="D1143" s="2213">
        <f>'Part VII-Pro Forma'!D47</f>
        <v>1180149.7195122309</v>
      </c>
      <c r="E1143" s="2213">
        <f>'Part VII-Pro Forma'!E47</f>
        <v>1203752.7139024753</v>
      </c>
      <c r="F1143" s="2213">
        <f>'Part VII-Pro Forma'!F47</f>
        <v>1227827.7681805252</v>
      </c>
      <c r="G1143" s="2213">
        <f>'Part VII-Pro Forma'!G47</f>
        <v>1252384.3235441353</v>
      </c>
      <c r="H1143" s="2213">
        <f>'Part VII-Pro Forma'!H47</f>
        <v>1277432.0100150181</v>
      </c>
      <c r="I1143" s="2213">
        <f>'Part VII-Pro Forma'!I47</f>
        <v>1302980.6502153187</v>
      </c>
      <c r="J1143" s="2213">
        <f>'Part VII-Pro Forma'!J47</f>
        <v>1329040.2632196248</v>
      </c>
      <c r="K1143" s="2213">
        <f>'Part VII-Pro Forma'!K47</f>
        <v>1355621.0684840172</v>
      </c>
      <c r="N1143" s="2043"/>
      <c r="O1143" s="2043"/>
      <c r="Z1143" s="1924" t="s">
        <v>6773</v>
      </c>
      <c r="AA1143" s="1929">
        <v>47</v>
      </c>
    </row>
    <row r="1144" spans="1:27" s="1852" customFormat="1" ht="13.35" customHeight="1">
      <c r="A1144" s="1852" t="s">
        <v>977</v>
      </c>
      <c r="B1144" s="2213">
        <f>'Part VII-Pro Forma'!B48</f>
        <v>22686.461351638423</v>
      </c>
      <c r="C1144" s="2213">
        <f>'Part VII-Pro Forma'!C48</f>
        <v>23140.19057867119</v>
      </c>
      <c r="D1144" s="2213">
        <f>'Part VII-Pro Forma'!D48</f>
        <v>23602.994390244618</v>
      </c>
      <c r="E1144" s="2213">
        <f>'Part VII-Pro Forma'!E48</f>
        <v>24075.054278049509</v>
      </c>
      <c r="F1144" s="2213">
        <f>'Part VII-Pro Forma'!F48</f>
        <v>24556.5553636105</v>
      </c>
      <c r="G1144" s="2213">
        <f>'Part VII-Pro Forma'!G48</f>
        <v>25047.686470882702</v>
      </c>
      <c r="H1144" s="2213">
        <f>'Part VII-Pro Forma'!H48</f>
        <v>25548.64020030036</v>
      </c>
      <c r="I1144" s="2213">
        <f>'Part VII-Pro Forma'!I48</f>
        <v>26059.613004306371</v>
      </c>
      <c r="J1144" s="2213">
        <f>'Part VII-Pro Forma'!J48</f>
        <v>26580.805264392497</v>
      </c>
      <c r="K1144" s="2213">
        <f>'Part VII-Pro Forma'!K48</f>
        <v>27112.421369680345</v>
      </c>
      <c r="N1144" s="2043"/>
      <c r="O1144" s="2043"/>
      <c r="Z1144" s="1924" t="s">
        <v>6773</v>
      </c>
      <c r="AA1144" s="2051">
        <v>48</v>
      </c>
    </row>
    <row r="1145" spans="1:27" s="1852" customFormat="1" ht="13.35" customHeight="1">
      <c r="A1145" s="1852" t="s">
        <v>2295</v>
      </c>
      <c r="B1145" s="2213">
        <f>'Part VII-Pro Forma'!B49</f>
        <v>-80990.66702534919</v>
      </c>
      <c r="C1145" s="2213">
        <f>'Part VII-Pro Forma'!C49</f>
        <v>-82610.480365856158</v>
      </c>
      <c r="D1145" s="2213">
        <f>'Part VII-Pro Forma'!D49</f>
        <v>-84262.689973173299</v>
      </c>
      <c r="E1145" s="2213">
        <f>'Part VII-Pro Forma'!E49</f>
        <v>-85947.943772636747</v>
      </c>
      <c r="F1145" s="2213">
        <f>'Part VII-Pro Forma'!F49</f>
        <v>-87666.902648089497</v>
      </c>
      <c r="G1145" s="2213">
        <f>'Part VII-Pro Forma'!G49</f>
        <v>-89420.240701051269</v>
      </c>
      <c r="H1145" s="2213">
        <f>'Part VII-Pro Forma'!H49</f>
        <v>-91208.645515072305</v>
      </c>
      <c r="I1145" s="2213">
        <f>'Part VII-Pro Forma'!I49</f>
        <v>-93032.818425373756</v>
      </c>
      <c r="J1145" s="2213">
        <f>'Part VII-Pro Forma'!J49</f>
        <v>-94893.474793881207</v>
      </c>
      <c r="K1145" s="2213">
        <f>'Part VII-Pro Forma'!K49</f>
        <v>-96791.344289758839</v>
      </c>
      <c r="N1145" s="2043"/>
      <c r="O1145" s="2043"/>
      <c r="Z1145" s="1924" t="s">
        <v>6773</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6773</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6773</v>
      </c>
      <c r="AA1147" s="2051">
        <v>51</v>
      </c>
    </row>
    <row r="1148" spans="1:27" s="1852" customFormat="1" ht="13.35" customHeight="1">
      <c r="A1148" s="1852" t="s">
        <v>4014</v>
      </c>
      <c r="B1148" s="2213">
        <f>'Part VII-Pro Forma'!B52</f>
        <v>1076018.8619082107</v>
      </c>
      <c r="C1148" s="2213">
        <f>'Part VII-Pro Forma'!C52</f>
        <v>1097539.2391463746</v>
      </c>
      <c r="D1148" s="2213">
        <f>'Part VII-Pro Forma'!D52</f>
        <v>1119490.0239293023</v>
      </c>
      <c r="E1148" s="2213">
        <f>'Part VII-Pro Forma'!E52</f>
        <v>1141879.8244078881</v>
      </c>
      <c r="F1148" s="2213">
        <f>'Part VII-Pro Forma'!F52</f>
        <v>1164717.4208960461</v>
      </c>
      <c r="G1148" s="2213">
        <f>'Part VII-Pro Forma'!G52</f>
        <v>1188011.7693139669</v>
      </c>
      <c r="H1148" s="2213">
        <f>'Part VII-Pro Forma'!H52</f>
        <v>1211772.004700246</v>
      </c>
      <c r="I1148" s="2213">
        <f>'Part VII-Pro Forma'!I52</f>
        <v>1236007.4447942511</v>
      </c>
      <c r="J1148" s="2213">
        <f>'Part VII-Pro Forma'!J52</f>
        <v>1260727.593690136</v>
      </c>
      <c r="K1148" s="2213">
        <f>'Part VII-Pro Forma'!K52</f>
        <v>1285942.1455639387</v>
      </c>
      <c r="N1148" s="2043"/>
      <c r="O1148" s="2043"/>
      <c r="Z1148" s="1924" t="s">
        <v>6773</v>
      </c>
      <c r="AA1148" s="2051">
        <v>52</v>
      </c>
    </row>
    <row r="1149" spans="1:27" s="1852" customFormat="1" ht="13.35" customHeight="1">
      <c r="A1149" s="1852" t="s">
        <v>585</v>
      </c>
      <c r="B1149" s="2213">
        <f>'Part VII-Pro Forma'!B53</f>
        <v>-538860.74321095715</v>
      </c>
      <c r="C1149" s="2213">
        <f>'Part VII-Pro Forma'!C53</f>
        <v>-555026.56550728588</v>
      </c>
      <c r="D1149" s="2213">
        <f>'Part VII-Pro Forma'!D53</f>
        <v>-571677.36247250438</v>
      </c>
      <c r="E1149" s="2213">
        <f>'Part VII-Pro Forma'!E53</f>
        <v>-588827.68334667943</v>
      </c>
      <c r="F1149" s="2213">
        <f>'Part VII-Pro Forma'!F53</f>
        <v>-606492.51384707983</v>
      </c>
      <c r="G1149" s="2213">
        <f>'Part VII-Pro Forma'!G53</f>
        <v>-624687.28926249233</v>
      </c>
      <c r="H1149" s="2213">
        <f>'Part VII-Pro Forma'!H53</f>
        <v>-643427.907940367</v>
      </c>
      <c r="I1149" s="2213">
        <f>'Part VII-Pro Forma'!I53</f>
        <v>-662730.74517857796</v>
      </c>
      <c r="J1149" s="2213">
        <f>'Part VII-Pro Forma'!J53</f>
        <v>-682612.66753393528</v>
      </c>
      <c r="K1149" s="2213">
        <f>'Part VII-Pro Forma'!K53</f>
        <v>-703091.04755995341</v>
      </c>
      <c r="N1149" s="2043"/>
      <c r="O1149" s="2043"/>
      <c r="Z1149" s="1924" t="s">
        <v>6773</v>
      </c>
      <c r="AA1149" s="2051">
        <v>53</v>
      </c>
    </row>
    <row r="1150" spans="1:27" s="1852" customFormat="1" ht="13.35" customHeight="1">
      <c r="A1150" s="1852" t="s">
        <v>1075</v>
      </c>
      <c r="B1150" s="2213">
        <f>'Part VII-Pro Forma'!B54</f>
        <v>-53801</v>
      </c>
      <c r="C1150" s="2213">
        <f>'Part VII-Pro Forma'!C54</f>
        <v>-54877</v>
      </c>
      <c r="D1150" s="2213">
        <f>'Part VII-Pro Forma'!D54</f>
        <v>-55975</v>
      </c>
      <c r="E1150" s="2213">
        <f>'Part VII-Pro Forma'!E54</f>
        <v>-57094</v>
      </c>
      <c r="F1150" s="2213">
        <f>'Part VII-Pro Forma'!F54</f>
        <v>-58236</v>
      </c>
      <c r="G1150" s="2213">
        <f>'Part VII-Pro Forma'!G54</f>
        <v>-59401</v>
      </c>
      <c r="H1150" s="2213">
        <f>'Part VII-Pro Forma'!H54</f>
        <v>-60589</v>
      </c>
      <c r="I1150" s="2213">
        <f>'Part VII-Pro Forma'!I54</f>
        <v>-61800</v>
      </c>
      <c r="J1150" s="2213">
        <f>'Part VII-Pro Forma'!J54</f>
        <v>-63036</v>
      </c>
      <c r="K1150" s="2213">
        <f>'Part VII-Pro Forma'!K54</f>
        <v>-64297</v>
      </c>
      <c r="N1150" s="2043"/>
      <c r="O1150" s="2043"/>
      <c r="Z1150" s="1924" t="s">
        <v>6773</v>
      </c>
      <c r="AA1150" s="2051">
        <v>54</v>
      </c>
    </row>
    <row r="1151" spans="1:27" s="1852" customFormat="1" ht="13.35" customHeight="1">
      <c r="A1151" s="1852" t="s">
        <v>1156</v>
      </c>
      <c r="B1151" s="2213">
        <f>'Part VII-Pro Forma'!B55</f>
        <v>-50235.59425988327</v>
      </c>
      <c r="C1151" s="2213">
        <f>'Part VII-Pro Forma'!C55</f>
        <v>-51742.662087679775</v>
      </c>
      <c r="D1151" s="2213">
        <f>'Part VII-Pro Forma'!D55</f>
        <v>-53294.94195031016</v>
      </c>
      <c r="E1151" s="2213">
        <f>'Part VII-Pro Forma'!E55</f>
        <v>-54893.790208819461</v>
      </c>
      <c r="F1151" s="2213">
        <f>'Part VII-Pro Forma'!F55</f>
        <v>-56540.603915084052</v>
      </c>
      <c r="G1151" s="2213">
        <f>'Part VII-Pro Forma'!G55</f>
        <v>-58236.822032536576</v>
      </c>
      <c r="H1151" s="2213">
        <f>'Part VII-Pro Forma'!H55</f>
        <v>-59983.926693512658</v>
      </c>
      <c r="I1151" s="2213">
        <f>'Part VII-Pro Forma'!I55</f>
        <v>-61783.444494318042</v>
      </c>
      <c r="J1151" s="2213">
        <f>'Part VII-Pro Forma'!J55</f>
        <v>-63636.947829147583</v>
      </c>
      <c r="K1151" s="2213">
        <f>'Part VII-Pro Forma'!K55</f>
        <v>-65546.056264022001</v>
      </c>
      <c r="N1151" s="2043"/>
      <c r="O1151" s="2043"/>
      <c r="Q1151" s="2051">
        <v>10</v>
      </c>
      <c r="R1151" s="2140">
        <f>-SUM(B1157:K1157)</f>
        <v>0</v>
      </c>
      <c r="S1151" s="2140">
        <f>SUM(B1158:K1158)+R1151</f>
        <v>0</v>
      </c>
      <c r="Z1151" s="1924" t="s">
        <v>6773</v>
      </c>
      <c r="AA1151" s="2051">
        <v>55</v>
      </c>
    </row>
    <row r="1152" spans="1:27" s="1852" customFormat="1" ht="13.35" customHeight="1">
      <c r="A1152" s="1852" t="s">
        <v>4013</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6773</v>
      </c>
      <c r="AA1152" s="2051">
        <v>56</v>
      </c>
    </row>
    <row r="1153" spans="1:27" s="1852" customFormat="1" ht="13.35" customHeight="1">
      <c r="A1153" s="1852" t="s">
        <v>1157</v>
      </c>
      <c r="B1153" s="2213">
        <f>'Part VII-Pro Forma'!B57</f>
        <v>433121.52443737024</v>
      </c>
      <c r="C1153" s="2213">
        <f>'Part VII-Pro Forma'!C57</f>
        <v>435893.01155140897</v>
      </c>
      <c r="D1153" s="2213">
        <f>'Part VII-Pro Forma'!D57</f>
        <v>438542.71950648783</v>
      </c>
      <c r="E1153" s="2213">
        <f>'Part VII-Pro Forma'!E57</f>
        <v>441064.35085238924</v>
      </c>
      <c r="F1153" s="2213">
        <f>'Part VII-Pro Forma'!F57</f>
        <v>443448.30313388223</v>
      </c>
      <c r="G1153" s="2213">
        <f>'Part VII-Pro Forma'!G57</f>
        <v>445686.65801893797</v>
      </c>
      <c r="H1153" s="2213">
        <f>'Part VII-Pro Forma'!H57</f>
        <v>447771.17006636638</v>
      </c>
      <c r="I1153" s="2213">
        <f>'Part VII-Pro Forma'!I57</f>
        <v>449693.25512135512</v>
      </c>
      <c r="J1153" s="2213">
        <f>'Part VII-Pro Forma'!J57</f>
        <v>451441.97832705313</v>
      </c>
      <c r="K1153" s="2213">
        <f>'Part VII-Pro Forma'!K57</f>
        <v>453008.04173996323</v>
      </c>
      <c r="N1153" s="2043"/>
      <c r="O1153" s="2043"/>
      <c r="Z1153" s="1924" t="s">
        <v>6773</v>
      </c>
      <c r="AA1153" s="2051">
        <v>57</v>
      </c>
    </row>
    <row r="1154" spans="1:27" s="1852" customFormat="1" ht="13.35" customHeight="1">
      <c r="A1154" s="1852" t="str">
        <f>$A1122</f>
        <v>Mortgage A</v>
      </c>
      <c r="B1154" s="2214">
        <f>'Part VII-Pro Forma'!B58</f>
        <v>-329683.67677046813</v>
      </c>
      <c r="C1154" s="2214">
        <f>'Part VII-Pro Forma'!C58</f>
        <v>-329683.67677046813</v>
      </c>
      <c r="D1154" s="2214">
        <f>'Part VII-Pro Forma'!D58</f>
        <v>-329683.67677046813</v>
      </c>
      <c r="E1154" s="2214">
        <f>'Part VII-Pro Forma'!E58</f>
        <v>-329683.67677046813</v>
      </c>
      <c r="F1154" s="2214">
        <f>'Part VII-Pro Forma'!F58</f>
        <v>-329683.67677046813</v>
      </c>
      <c r="G1154" s="2214">
        <f>'Part VII-Pro Forma'!G58</f>
        <v>-329683.67677046813</v>
      </c>
      <c r="H1154" s="2214">
        <f>'Part VII-Pro Forma'!H58</f>
        <v>-329683.67677046813</v>
      </c>
      <c r="I1154" s="2214">
        <f>'Part VII-Pro Forma'!I58</f>
        <v>-329683.67677046813</v>
      </c>
      <c r="J1154" s="2214">
        <f>'Part VII-Pro Forma'!J58</f>
        <v>-329683.67677046813</v>
      </c>
      <c r="K1154" s="2214">
        <f>'Part VII-Pro Forma'!K58</f>
        <v>-329683.67677046813</v>
      </c>
      <c r="N1154" s="2043"/>
      <c r="O1154" s="2043"/>
      <c r="Z1154" s="1924" t="s">
        <v>6773</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6773</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6773</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6773</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6773</v>
      </c>
      <c r="AA1158" s="2051">
        <v>62</v>
      </c>
    </row>
    <row r="1159" spans="1:27" s="1852" customFormat="1" ht="13.35" customHeight="1">
      <c r="A1159" s="1852" t="s">
        <v>1121</v>
      </c>
      <c r="B1159" s="2214">
        <f>'Part VII-Pro Forma'!B63</f>
        <v>-3000</v>
      </c>
      <c r="C1159" s="2214">
        <f>'Part VII-Pro Forma'!C63</f>
        <v>-3000</v>
      </c>
      <c r="D1159" s="2214">
        <f>'Part VII-Pro Forma'!D63</f>
        <v>-3000</v>
      </c>
      <c r="E1159" s="2214">
        <f>'Part VII-Pro Forma'!E63</f>
        <v>-3000</v>
      </c>
      <c r="F1159" s="2214">
        <f>'Part VII-Pro Forma'!F63</f>
        <v>-3000</v>
      </c>
      <c r="G1159" s="2214">
        <f>'Part VII-Pro Forma'!G63</f>
        <v>-3000</v>
      </c>
      <c r="H1159" s="2214">
        <f>'Part VII-Pro Forma'!H63</f>
        <v>-3000</v>
      </c>
      <c r="I1159" s="2214">
        <f>'Part VII-Pro Forma'!I63</f>
        <v>-3000</v>
      </c>
      <c r="J1159" s="2214">
        <f>'Part VII-Pro Forma'!J63</f>
        <v>-3000</v>
      </c>
      <c r="K1159" s="2214">
        <f>'Part VII-Pro Forma'!K63</f>
        <v>-3000</v>
      </c>
      <c r="N1159" s="2043"/>
      <c r="O1159" s="2043"/>
      <c r="Z1159" s="1924" t="s">
        <v>6773</v>
      </c>
      <c r="AA1159" s="2051">
        <v>63</v>
      </c>
    </row>
    <row r="1160" spans="1:27" s="1852" customFormat="1" ht="13.35" customHeight="1">
      <c r="A1160" s="1852" t="s">
        <v>3509</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6773</v>
      </c>
      <c r="AA1160" s="2051">
        <v>64</v>
      </c>
    </row>
    <row r="1161" spans="1:27" s="1852" customFormat="1" ht="13.35" customHeight="1">
      <c r="A1161" s="1852" t="s">
        <v>1122</v>
      </c>
      <c r="B1161" s="2213">
        <f>'Part VII-Pro Forma'!B65</f>
        <v>100437.84766690212</v>
      </c>
      <c r="C1161" s="2213">
        <f>'Part VII-Pro Forma'!C65</f>
        <v>103209.33478094084</v>
      </c>
      <c r="D1161" s="2213">
        <f>'Part VII-Pro Forma'!D65</f>
        <v>105859.04273601971</v>
      </c>
      <c r="E1161" s="2213">
        <f>'Part VII-Pro Forma'!E65</f>
        <v>108380.67408192111</v>
      </c>
      <c r="F1161" s="2213">
        <f>'Part VII-Pro Forma'!F65</f>
        <v>110764.62636341411</v>
      </c>
      <c r="G1161" s="2213">
        <f>'Part VII-Pro Forma'!G65</f>
        <v>113002.98124846985</v>
      </c>
      <c r="H1161" s="2213">
        <f>'Part VII-Pro Forma'!H65</f>
        <v>115087.49329589825</v>
      </c>
      <c r="I1161" s="2213">
        <f>'Part VII-Pro Forma'!I65</f>
        <v>117009.57835088699</v>
      </c>
      <c r="J1161" s="2213">
        <f>'Part VII-Pro Forma'!J65</f>
        <v>118758.30155658501</v>
      </c>
      <c r="K1161" s="2213">
        <f>'Part VII-Pro Forma'!K65</f>
        <v>120324.3649694951</v>
      </c>
      <c r="N1161" s="2043"/>
      <c r="O1161" s="2043"/>
      <c r="Z1161" s="1924" t="s">
        <v>6773</v>
      </c>
      <c r="AA1161" s="2051">
        <v>65</v>
      </c>
    </row>
    <row r="1162" spans="1:27" s="1852" customFormat="1" ht="13.35" customHeight="1">
      <c r="A1162" s="1852" t="str">
        <f>$A1130</f>
        <v>DCR Mortgage A</v>
      </c>
      <c r="B1162" s="2215">
        <f>'Part VII-Pro Forma'!B66</f>
        <v>1.3137487687596905</v>
      </c>
      <c r="C1162" s="2215">
        <f>'Part VII-Pro Forma'!C66</f>
        <v>1.3221552726581782</v>
      </c>
      <c r="D1162" s="2215">
        <f>'Part VII-Pro Forma'!D66</f>
        <v>1.3301923947293557</v>
      </c>
      <c r="E1162" s="2215">
        <f>'Part VII-Pro Forma'!E66</f>
        <v>1.3378410334809097</v>
      </c>
      <c r="F1162" s="2215">
        <f>'Part VII-Pro Forma'!F66</f>
        <v>1.3450720626445183</v>
      </c>
      <c r="G1162" s="2215">
        <f>'Part VII-Pro Forma'!G66</f>
        <v>1.3518614642520905</v>
      </c>
      <c r="H1162" s="2215">
        <f>'Part VII-Pro Forma'!H66</f>
        <v>1.3581842281445828</v>
      </c>
      <c r="I1162" s="2215">
        <f>'Part VII-Pro Forma'!I66</f>
        <v>1.3640143167732259</v>
      </c>
      <c r="J1162" s="2215">
        <f>'Part VII-Pro Forma'!J66</f>
        <v>1.3693185624150734</v>
      </c>
      <c r="K1162" s="2215">
        <f>'Part VII-Pro Forma'!K66</f>
        <v>1.3740687624500008</v>
      </c>
      <c r="N1162" s="2043"/>
      <c r="O1162" s="2043"/>
      <c r="Z1162" s="1924" t="s">
        <v>6773</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6773</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6773</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6773</v>
      </c>
      <c r="AA1165" s="2051">
        <v>69</v>
      </c>
    </row>
    <row r="1166" spans="1:27" s="1852" customFormat="1" ht="13.35" customHeight="1">
      <c r="A1166" s="1852" t="s">
        <v>3344</v>
      </c>
      <c r="B1166" s="2215">
        <f>'Part VII-Pro Forma'!B70</f>
        <v>1.3137487687596905</v>
      </c>
      <c r="C1166" s="2215">
        <f>'Part VII-Pro Forma'!C70</f>
        <v>1.3221552726581782</v>
      </c>
      <c r="D1166" s="2215">
        <f>'Part VII-Pro Forma'!D70</f>
        <v>1.3301923947293557</v>
      </c>
      <c r="E1166" s="2215">
        <f>'Part VII-Pro Forma'!E70</f>
        <v>1.3378410334809097</v>
      </c>
      <c r="F1166" s="2215">
        <f>'Part VII-Pro Forma'!F70</f>
        <v>1.3450720626445183</v>
      </c>
      <c r="G1166" s="2215">
        <f>'Part VII-Pro Forma'!G70</f>
        <v>1.3518614642520905</v>
      </c>
      <c r="H1166" s="2215">
        <f>'Part VII-Pro Forma'!H70</f>
        <v>1.3581842281445828</v>
      </c>
      <c r="I1166" s="2215">
        <f>'Part VII-Pro Forma'!I70</f>
        <v>1.3640143167732259</v>
      </c>
      <c r="J1166" s="2215">
        <f>'Part VII-Pro Forma'!J70</f>
        <v>1.3693185624150734</v>
      </c>
      <c r="K1166" s="2215">
        <f>'Part VII-Pro Forma'!K70</f>
        <v>1.3740687624500008</v>
      </c>
      <c r="N1166" s="2043"/>
      <c r="O1166" s="2043"/>
      <c r="Z1166" s="1924" t="s">
        <v>6773</v>
      </c>
      <c r="AA1166" s="2051">
        <v>70</v>
      </c>
    </row>
    <row r="1167" spans="1:27" s="1852" customFormat="1" ht="13.35" customHeight="1">
      <c r="A1167" s="1852" t="s">
        <v>740</v>
      </c>
      <c r="B1167" s="2215">
        <f>'Part VII-Pro Forma'!B71</f>
        <v>1.6737024703528425</v>
      </c>
      <c r="C1167" s="2215">
        <f>'Part VII-Pro Forma'!C71</f>
        <v>1.6588007206446977</v>
      </c>
      <c r="D1167" s="2215">
        <f>'Part VII-Pro Forma'!D71</f>
        <v>1.6440185850771609</v>
      </c>
      <c r="E1167" s="2215">
        <f>'Part VII-Pro Forma'!E71</f>
        <v>1.6293587506204805</v>
      </c>
      <c r="F1167" s="2215">
        <f>'Part VII-Pro Forma'!F71</f>
        <v>1.6148167060163914</v>
      </c>
      <c r="G1167" s="2215">
        <f>'Part VII-Pro Forma'!G71</f>
        <v>1.6003928079994652</v>
      </c>
      <c r="H1167" s="2215">
        <f>'Part VII-Pro Forma'!H71</f>
        <v>1.5860872786623914</v>
      </c>
      <c r="I1167" s="2215">
        <f>'Part VII-Pro Forma'!I71</f>
        <v>1.57190021625888</v>
      </c>
      <c r="J1167" s="2215">
        <f>'Part VII-Pro Forma'!J71</f>
        <v>1.5578277554389934</v>
      </c>
      <c r="K1167" s="2215">
        <f>'Part VII-Pro Forma'!K71</f>
        <v>1.5438702049300381</v>
      </c>
      <c r="N1167" s="2043"/>
      <c r="O1167" s="2043"/>
      <c r="Z1167" s="1924" t="s">
        <v>6773</v>
      </c>
      <c r="AA1167" s="2051">
        <v>71</v>
      </c>
    </row>
    <row r="1168" spans="1:27" s="1852" customFormat="1" ht="13.35" customHeight="1">
      <c r="A1168" s="1852" t="s">
        <v>2493</v>
      </c>
      <c r="B1168" s="2214">
        <f>'Part VII-Pro Forma'!B72</f>
        <v>4954988.0589474356</v>
      </c>
      <c r="C1168" s="2214">
        <f>'Part VII-Pro Forma'!C72</f>
        <v>4833543.8632744625</v>
      </c>
      <c r="D1168" s="2214">
        <f>'Part VII-Pro Forma'!D72</f>
        <v>4706836.5535019645</v>
      </c>
      <c r="E1168" s="2214">
        <f>'Part VII-Pro Forma'!E72</f>
        <v>4574638.0382841919</v>
      </c>
      <c r="F1168" s="2214">
        <f>'Part VII-Pro Forma'!F72</f>
        <v>4436710.3413173584</v>
      </c>
      <c r="G1168" s="2214">
        <f>'Part VII-Pro Forma'!G72</f>
        <v>4292805.1729481379</v>
      </c>
      <c r="H1168" s="2214">
        <f>'Part VII-Pro Forma'!H72</f>
        <v>4142663.4832166443</v>
      </c>
      <c r="I1168" s="2214">
        <f>'Part VII-Pro Forma'!I72</f>
        <v>3986014.9955293201</v>
      </c>
      <c r="J1168" s="2214">
        <f>'Part VII-Pro Forma'!J72</f>
        <v>3822577.7201222726</v>
      </c>
      <c r="K1168" s="2214">
        <f>'Part VII-Pro Forma'!K72</f>
        <v>3652057.4464392178</v>
      </c>
      <c r="N1168" s="2043"/>
      <c r="O1168" s="2043"/>
      <c r="Z1168" s="1924" t="s">
        <v>6773</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6773</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6773</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6773</v>
      </c>
      <c r="AA1171" s="2051">
        <v>75</v>
      </c>
    </row>
    <row r="1172" spans="1:27" s="1852" customFormat="1" ht="13.35" customHeight="1">
      <c r="A1172" s="1852" t="s">
        <v>3510</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6773</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1382733.4898536978</v>
      </c>
      <c r="C1175" s="2213">
        <f>'Part VII-Pro Forma'!C79</f>
        <v>1410388.1596507716</v>
      </c>
      <c r="D1175" s="2213">
        <f>'Part VII-Pro Forma'!D79</f>
        <v>1438595.9228437871</v>
      </c>
      <c r="E1175" s="2213">
        <f>'Part VII-Pro Forma'!E79</f>
        <v>1467367.8413006626</v>
      </c>
      <c r="F1175" s="2213">
        <f>'Part VII-Pro Forma'!F79</f>
        <v>1496715.1981266758</v>
      </c>
      <c r="G1175" s="2213">
        <f>'Part VII-Pro Forma'!G79</f>
        <v>1526649.5020892094</v>
      </c>
      <c r="H1175" s="2213">
        <f>'Part VII-Pro Forma'!H79</f>
        <v>1557182.4921309939</v>
      </c>
      <c r="I1175" s="2213">
        <f>'Part VII-Pro Forma'!I79</f>
        <v>1588326.1419736133</v>
      </c>
      <c r="J1175" s="2213">
        <f>'Part VII-Pro Forma'!J79</f>
        <v>1620092.6648130859</v>
      </c>
      <c r="K1175" s="2213">
        <f>'Part VII-Pro Forma'!K79</f>
        <v>1652494.5181093474</v>
      </c>
      <c r="N1175" s="2043"/>
      <c r="O1175" s="2043"/>
      <c r="Z1175" s="1924" t="s">
        <v>6774</v>
      </c>
      <c r="AA1175" s="2051">
        <v>79</v>
      </c>
    </row>
    <row r="1176" spans="1:27" s="1852" customFormat="1" ht="13.35" customHeight="1">
      <c r="A1176" s="1852" t="s">
        <v>977</v>
      </c>
      <c r="B1176" s="2213">
        <f>'Part VII-Pro Forma'!B80</f>
        <v>27654.669797073955</v>
      </c>
      <c r="C1176" s="2213">
        <f>'Part VII-Pro Forma'!C80</f>
        <v>28207.763193015431</v>
      </c>
      <c r="D1176" s="2213">
        <f>'Part VII-Pro Forma'!D80</f>
        <v>28771.918456875741</v>
      </c>
      <c r="E1176" s="2213">
        <f>'Part VII-Pro Forma'!E80</f>
        <v>29347.356826013252</v>
      </c>
      <c r="F1176" s="2213">
        <f>'Part VII-Pro Forma'!F80</f>
        <v>29934.303962533519</v>
      </c>
      <c r="G1176" s="2213">
        <f>'Part VII-Pro Forma'!G80</f>
        <v>30532.990041784189</v>
      </c>
      <c r="H1176" s="2213">
        <f>'Part VII-Pro Forma'!H80</f>
        <v>31143.649842619874</v>
      </c>
      <c r="I1176" s="2213">
        <f>'Part VII-Pro Forma'!I80</f>
        <v>31766.522839472265</v>
      </c>
      <c r="J1176" s="2213">
        <f>'Part VII-Pro Forma'!J80</f>
        <v>32401.853296261717</v>
      </c>
      <c r="K1176" s="2213">
        <f>'Part VII-Pro Forma'!K80</f>
        <v>33049.890362186947</v>
      </c>
      <c r="N1176" s="2043"/>
      <c r="O1176" s="2043"/>
      <c r="Z1176" s="1924" t="s">
        <v>6774</v>
      </c>
      <c r="AA1176" s="2051">
        <v>80</v>
      </c>
    </row>
    <row r="1177" spans="1:27" s="1852" customFormat="1" ht="13.35" customHeight="1">
      <c r="A1177" s="1852" t="s">
        <v>2295</v>
      </c>
      <c r="B1177" s="2213">
        <f>'Part VII-Pro Forma'!B81</f>
        <v>-98727.171175554045</v>
      </c>
      <c r="C1177" s="2213">
        <f>'Part VII-Pro Forma'!C81</f>
        <v>-100701.7145990651</v>
      </c>
      <c r="D1177" s="2213">
        <f>'Part VII-Pro Forma'!D81</f>
        <v>-102715.7488910464</v>
      </c>
      <c r="E1177" s="2213">
        <f>'Part VII-Pro Forma'!E81</f>
        <v>-104770.06386886732</v>
      </c>
      <c r="F1177" s="2213">
        <f>'Part VII-Pro Forma'!F81</f>
        <v>-106865.46514624466</v>
      </c>
      <c r="G1177" s="2213">
        <f>'Part VII-Pro Forma'!G81</f>
        <v>-109002.77444916956</v>
      </c>
      <c r="H1177" s="2213">
        <f>'Part VII-Pro Forma'!H81</f>
        <v>-111182.82993815298</v>
      </c>
      <c r="I1177" s="2213">
        <f>'Part VII-Pro Forma'!I81</f>
        <v>-113406.486536916</v>
      </c>
      <c r="J1177" s="2213">
        <f>'Part VII-Pro Forma'!J81</f>
        <v>-115674.61626765435</v>
      </c>
      <c r="K1177" s="2213">
        <f>'Part VII-Pro Forma'!K81</f>
        <v>-117988.10859300742</v>
      </c>
      <c r="N1177" s="2043"/>
      <c r="O1177" s="2043"/>
      <c r="Z1177" s="1924" t="s">
        <v>6774</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6774</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6774</v>
      </c>
      <c r="AA1179" s="2051">
        <v>83</v>
      </c>
    </row>
    <row r="1180" spans="1:27" s="1852" customFormat="1" ht="13.35" customHeight="1">
      <c r="A1180" s="1852" t="s">
        <v>4014</v>
      </c>
      <c r="B1180" s="2213">
        <f>'Part VII-Pro Forma'!B84</f>
        <v>1311660.9884752179</v>
      </c>
      <c r="C1180" s="2213">
        <f>'Part VII-Pro Forma'!C84</f>
        <v>1337894.2082447221</v>
      </c>
      <c r="D1180" s="2213">
        <f>'Part VII-Pro Forma'!D84</f>
        <v>1364652.0924096163</v>
      </c>
      <c r="E1180" s="2213">
        <f>'Part VII-Pro Forma'!E84</f>
        <v>1391945.1342578086</v>
      </c>
      <c r="F1180" s="2213">
        <f>'Part VII-Pro Forma'!F84</f>
        <v>1419784.0369429647</v>
      </c>
      <c r="G1180" s="2213">
        <f>'Part VII-Pro Forma'!G84</f>
        <v>1448179.717681824</v>
      </c>
      <c r="H1180" s="2213">
        <f>'Part VII-Pro Forma'!H84</f>
        <v>1477143.3120354607</v>
      </c>
      <c r="I1180" s="2213">
        <f>'Part VII-Pro Forma'!I84</f>
        <v>1506686.1782761696</v>
      </c>
      <c r="J1180" s="2213">
        <f>'Part VII-Pro Forma'!J84</f>
        <v>1536819.9018416933</v>
      </c>
      <c r="K1180" s="2213">
        <f>'Part VII-Pro Forma'!K84</f>
        <v>1567556.2998785272</v>
      </c>
      <c r="N1180" s="2043"/>
      <c r="O1180" s="2043"/>
      <c r="Z1180" s="1924" t="s">
        <v>6774</v>
      </c>
      <c r="AA1180" s="2051">
        <v>84</v>
      </c>
    </row>
    <row r="1181" spans="1:27" s="1852" customFormat="1" ht="13.35" customHeight="1">
      <c r="A1181" s="1852" t="s">
        <v>585</v>
      </c>
      <c r="B1181" s="2213">
        <f>'Part VII-Pro Forma'!B85</f>
        <v>-724183.77898675192</v>
      </c>
      <c r="C1181" s="2213">
        <f>'Part VII-Pro Forma'!C85</f>
        <v>-745909.29235635442</v>
      </c>
      <c r="D1181" s="2213">
        <f>'Part VII-Pro Forma'!D85</f>
        <v>-768286.57112704508</v>
      </c>
      <c r="E1181" s="2213">
        <f>'Part VII-Pro Forma'!E85</f>
        <v>-791335.16826085653</v>
      </c>
      <c r="F1181" s="2213">
        <f>'Part VII-Pro Forma'!F85</f>
        <v>-815075.22330868209</v>
      </c>
      <c r="G1181" s="2213">
        <f>'Part VII-Pro Forma'!G85</f>
        <v>-839527.48000794253</v>
      </c>
      <c r="H1181" s="2213">
        <f>'Part VII-Pro Forma'!H85</f>
        <v>-864713.30440818099</v>
      </c>
      <c r="I1181" s="2213">
        <f>'Part VII-Pro Forma'!I85</f>
        <v>-890654.70354042621</v>
      </c>
      <c r="J1181" s="2213">
        <f>'Part VII-Pro Forma'!J85</f>
        <v>-917374.34464663907</v>
      </c>
      <c r="K1181" s="2213">
        <f>'Part VII-Pro Forma'!K85</f>
        <v>-944895.57498603815</v>
      </c>
      <c r="N1181" s="2043"/>
      <c r="O1181" s="2043"/>
      <c r="Z1181" s="1924" t="s">
        <v>6774</v>
      </c>
      <c r="AA1181" s="2051">
        <v>85</v>
      </c>
    </row>
    <row r="1182" spans="1:27" s="1852" customFormat="1" ht="13.35" customHeight="1">
      <c r="A1182" s="1852" t="s">
        <v>1075</v>
      </c>
      <c r="B1182" s="2213">
        <f>'Part VII-Pro Forma'!B86</f>
        <v>-65583</v>
      </c>
      <c r="C1182" s="2213">
        <f>'Part VII-Pro Forma'!C86</f>
        <v>-66895</v>
      </c>
      <c r="D1182" s="2213">
        <f>'Part VII-Pro Forma'!D86</f>
        <v>-68233</v>
      </c>
      <c r="E1182" s="2213">
        <f>'Part VII-Pro Forma'!E86</f>
        <v>-69597</v>
      </c>
      <c r="F1182" s="2213">
        <f>'Part VII-Pro Forma'!F86</f>
        <v>-70989</v>
      </c>
      <c r="G1182" s="2213">
        <f>'Part VII-Pro Forma'!G86</f>
        <v>-72409</v>
      </c>
      <c r="H1182" s="2213">
        <f>'Part VII-Pro Forma'!H86</f>
        <v>-73857</v>
      </c>
      <c r="I1182" s="2213">
        <f>'Part VII-Pro Forma'!I86</f>
        <v>-75334</v>
      </c>
      <c r="J1182" s="2213">
        <f>'Part VII-Pro Forma'!J86</f>
        <v>-76841</v>
      </c>
      <c r="K1182" s="2213">
        <f>'Part VII-Pro Forma'!K86</f>
        <v>-78378</v>
      </c>
      <c r="N1182" s="2043"/>
      <c r="O1182" s="2043"/>
      <c r="Z1182" s="1924" t="s">
        <v>6774</v>
      </c>
      <c r="AA1182" s="2051">
        <v>86</v>
      </c>
    </row>
    <row r="1183" spans="1:27" s="1852" customFormat="1" ht="13.35" customHeight="1">
      <c r="A1183" s="1852" t="s">
        <v>1156</v>
      </c>
      <c r="B1183" s="2213">
        <f>'Part VII-Pro Forma'!B87</f>
        <v>-67512.437951942673</v>
      </c>
      <c r="C1183" s="2213">
        <f>'Part VII-Pro Forma'!C87</f>
        <v>-69537.811090500938</v>
      </c>
      <c r="D1183" s="2213">
        <f>'Part VII-Pro Forma'!D87</f>
        <v>-71623.945423215977</v>
      </c>
      <c r="E1183" s="2213">
        <f>'Part VII-Pro Forma'!E87</f>
        <v>-73772.66378591246</v>
      </c>
      <c r="F1183" s="2213">
        <f>'Part VII-Pro Forma'!F87</f>
        <v>-75985.843699489822</v>
      </c>
      <c r="G1183" s="2213">
        <f>'Part VII-Pro Forma'!G87</f>
        <v>-78265.419010474507</v>
      </c>
      <c r="H1183" s="2213">
        <f>'Part VII-Pro Forma'!H87</f>
        <v>-80613.381580788759</v>
      </c>
      <c r="I1183" s="2213">
        <f>'Part VII-Pro Forma'!I87</f>
        <v>-83031.78302821242</v>
      </c>
      <c r="J1183" s="2213">
        <f>'Part VII-Pro Forma'!J87</f>
        <v>-85522.736519058788</v>
      </c>
      <c r="K1183" s="2213">
        <f>'Part VII-Pro Forma'!K87</f>
        <v>-88088.418614630544</v>
      </c>
      <c r="N1183" s="2043"/>
      <c r="O1183" s="2043"/>
      <c r="Q1183" s="2051">
        <v>10</v>
      </c>
      <c r="R1183" s="2140">
        <f>-SUM(B1189:K1189)</f>
        <v>0</v>
      </c>
      <c r="S1183" s="2140">
        <f>SUM(B1190:K1190)+R1183</f>
        <v>0</v>
      </c>
      <c r="Z1183" s="1924" t="s">
        <v>6774</v>
      </c>
      <c r="AA1183" s="2051">
        <v>87</v>
      </c>
    </row>
    <row r="1184" spans="1:27" s="1852" customFormat="1" ht="13.35" customHeight="1">
      <c r="A1184" s="1852" t="s">
        <v>4013</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6774</v>
      </c>
      <c r="AA1184" s="2051">
        <v>88</v>
      </c>
    </row>
    <row r="1185" spans="1:27" s="1852" customFormat="1" ht="13.35" customHeight="1">
      <c r="A1185" s="1852" t="s">
        <v>1157</v>
      </c>
      <c r="B1185" s="2213">
        <f>'Part VII-Pro Forma'!B89</f>
        <v>454381.77153652336</v>
      </c>
      <c r="C1185" s="2213">
        <f>'Part VII-Pro Forma'!C89</f>
        <v>455552.10479786678</v>
      </c>
      <c r="D1185" s="2213">
        <f>'Part VII-Pro Forma'!D89</f>
        <v>456508.57585935527</v>
      </c>
      <c r="E1185" s="2213">
        <f>'Part VII-Pro Forma'!E89</f>
        <v>457240.30221103958</v>
      </c>
      <c r="F1185" s="2213">
        <f>'Part VII-Pro Forma'!F89</f>
        <v>457733.96993479272</v>
      </c>
      <c r="G1185" s="2213">
        <f>'Part VII-Pro Forma'!G89</f>
        <v>457977.81866340694</v>
      </c>
      <c r="H1185" s="2213">
        <f>'Part VII-Pro Forma'!H89</f>
        <v>457959.62604649097</v>
      </c>
      <c r="I1185" s="2213">
        <f>'Part VII-Pro Forma'!I89</f>
        <v>457665.69170753093</v>
      </c>
      <c r="J1185" s="2213">
        <f>'Part VII-Pro Forma'!J89</f>
        <v>457081.82067599543</v>
      </c>
      <c r="K1185" s="2213">
        <f>'Part VII-Pro Forma'!K89</f>
        <v>456194.3062778585</v>
      </c>
      <c r="N1185" s="2043"/>
      <c r="O1185" s="2043"/>
      <c r="Z1185" s="1924" t="s">
        <v>6774</v>
      </c>
      <c r="AA1185" s="2051">
        <v>89</v>
      </c>
    </row>
    <row r="1186" spans="1:27" s="1852" customFormat="1" ht="13.35" customHeight="1">
      <c r="A1186" s="1852" t="str">
        <f>$A1154</f>
        <v>Mortgage A</v>
      </c>
      <c r="B1186" s="2214">
        <f>'Part VII-Pro Forma'!B90</f>
        <v>-329683.67677046813</v>
      </c>
      <c r="C1186" s="2214">
        <f>'Part VII-Pro Forma'!C90</f>
        <v>-329683.67677046813</v>
      </c>
      <c r="D1186" s="2214">
        <f>'Part VII-Pro Forma'!D90</f>
        <v>-329683.67677046813</v>
      </c>
      <c r="E1186" s="2214">
        <f>'Part VII-Pro Forma'!E90</f>
        <v>-329683.67677046813</v>
      </c>
      <c r="F1186" s="2214">
        <f>'Part VII-Pro Forma'!F90</f>
        <v>-329683.67677046813</v>
      </c>
      <c r="G1186" s="2214">
        <f>'Part VII-Pro Forma'!G90</f>
        <v>-329683.67677046813</v>
      </c>
      <c r="H1186" s="2214">
        <f>'Part VII-Pro Forma'!H90</f>
        <v>-329683.67677046813</v>
      </c>
      <c r="I1186" s="2214">
        <f>'Part VII-Pro Forma'!I90</f>
        <v>-329683.67677046813</v>
      </c>
      <c r="J1186" s="2214">
        <f>'Part VII-Pro Forma'!J90</f>
        <v>-329683.67677046813</v>
      </c>
      <c r="K1186" s="2214">
        <f>'Part VII-Pro Forma'!K90</f>
        <v>-329683.67677046813</v>
      </c>
      <c r="N1186" s="2043"/>
      <c r="O1186" s="2043"/>
      <c r="Z1186" s="1924" t="s">
        <v>6774</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6774</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6774</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6774</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6774</v>
      </c>
      <c r="AA1190" s="2051">
        <v>94</v>
      </c>
    </row>
    <row r="1191" spans="1:27" s="1852" customFormat="1" ht="13.35" customHeight="1">
      <c r="A1191" s="1852" t="s">
        <v>1121</v>
      </c>
      <c r="B1191" s="2214">
        <f>'Part VII-Pro Forma'!B95</f>
        <v>-3000</v>
      </c>
      <c r="C1191" s="2214">
        <f>'Part VII-Pro Forma'!C95</f>
        <v>-3000</v>
      </c>
      <c r="D1191" s="2214">
        <f>'Part VII-Pro Forma'!D95</f>
        <v>-3000</v>
      </c>
      <c r="E1191" s="2214">
        <f>'Part VII-Pro Forma'!E95</f>
        <v>-3000</v>
      </c>
      <c r="F1191" s="2214">
        <f>'Part VII-Pro Forma'!F95</f>
        <v>-3000</v>
      </c>
      <c r="G1191" s="2214">
        <f>'Part VII-Pro Forma'!G95</f>
        <v>-3000</v>
      </c>
      <c r="H1191" s="2214">
        <f>'Part VII-Pro Forma'!H95</f>
        <v>-3000</v>
      </c>
      <c r="I1191" s="2214">
        <f>'Part VII-Pro Forma'!I95</f>
        <v>-3000</v>
      </c>
      <c r="J1191" s="2214">
        <f>'Part VII-Pro Forma'!J95</f>
        <v>-3000</v>
      </c>
      <c r="K1191" s="2214">
        <f>'Part VII-Pro Forma'!K95</f>
        <v>-3000</v>
      </c>
      <c r="N1191" s="2043"/>
      <c r="O1191" s="2043"/>
      <c r="Z1191" s="1924" t="s">
        <v>6774</v>
      </c>
      <c r="AA1191" s="2051">
        <v>95</v>
      </c>
    </row>
    <row r="1192" spans="1:27" s="1852" customFormat="1" ht="13.35" customHeight="1">
      <c r="A1192" s="1852" t="s">
        <v>1122</v>
      </c>
      <c r="B1192" s="2213">
        <f>'Part VII-Pro Forma'!B96</f>
        <v>121698.09476605523</v>
      </c>
      <c r="C1192" s="2213">
        <f>'Part VII-Pro Forma'!C96</f>
        <v>122868.42802739865</v>
      </c>
      <c r="D1192" s="2213">
        <f>'Part VII-Pro Forma'!D96</f>
        <v>123824.89908888715</v>
      </c>
      <c r="E1192" s="2213">
        <f>'Part VII-Pro Forma'!E96</f>
        <v>124556.62544057146</v>
      </c>
      <c r="F1192" s="2213">
        <f>'Part VII-Pro Forma'!F96</f>
        <v>125050.2931643246</v>
      </c>
      <c r="G1192" s="2213">
        <f>'Part VII-Pro Forma'!G96</f>
        <v>125294.14189293882</v>
      </c>
      <c r="H1192" s="2213">
        <f>'Part VII-Pro Forma'!H96</f>
        <v>125275.94927602285</v>
      </c>
      <c r="I1192" s="2213">
        <f>'Part VII-Pro Forma'!I96</f>
        <v>124982.01493706281</v>
      </c>
      <c r="J1192" s="2213">
        <f>'Part VII-Pro Forma'!J96</f>
        <v>124398.14390552731</v>
      </c>
      <c r="K1192" s="2213">
        <f>'Part VII-Pro Forma'!K96</f>
        <v>123510.62950739037</v>
      </c>
      <c r="N1192" s="2043"/>
      <c r="O1192" s="2043"/>
      <c r="Z1192" s="1924" t="s">
        <v>6774</v>
      </c>
      <c r="AA1192" s="1929">
        <v>96</v>
      </c>
    </row>
    <row r="1193" spans="1:27" s="1852" customFormat="1" ht="13.35" customHeight="1">
      <c r="A1193" s="1852" t="str">
        <f>$A1162</f>
        <v>DCR Mortgage A</v>
      </c>
      <c r="B1193" s="2215">
        <f>'Part VII-Pro Forma'!B97</f>
        <v>1.3782355741345131</v>
      </c>
      <c r="C1193" s="2215">
        <f>'Part VII-Pro Forma'!C97</f>
        <v>1.3817854413066091</v>
      </c>
      <c r="D1193" s="2215">
        <f>'Part VII-Pro Forma'!D97</f>
        <v>1.3846866194021035</v>
      </c>
      <c r="E1193" s="2215">
        <f>'Part VII-Pro Forma'!E97</f>
        <v>1.3869060994772233</v>
      </c>
      <c r="F1193" s="2215">
        <f>'Part VII-Pro Forma'!F97</f>
        <v>1.3884034976153083</v>
      </c>
      <c r="G1193" s="2215">
        <f>'Part VII-Pro Forma'!G97</f>
        <v>1.3891431421467055</v>
      </c>
      <c r="H1193" s="2215">
        <f>'Part VII-Pro Forma'!H97</f>
        <v>1.389087960109505</v>
      </c>
      <c r="I1193" s="2215">
        <f>'Part VII-Pro Forma'!I97</f>
        <v>1.3881963953773977</v>
      </c>
      <c r="J1193" s="2215">
        <f>'Part VII-Pro Forma'!J97</f>
        <v>1.3864253916162923</v>
      </c>
      <c r="K1193" s="2215">
        <f>'Part VII-Pro Forma'!K97</f>
        <v>1.3837333735982003</v>
      </c>
      <c r="N1193" s="2043"/>
      <c r="O1193" s="2043"/>
      <c r="Z1193" s="1924" t="s">
        <v>6774</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6774</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6774</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6774</v>
      </c>
      <c r="AA1196" s="2051">
        <v>100</v>
      </c>
    </row>
    <row r="1197" spans="1:27" s="1852" customFormat="1" ht="13.35" customHeight="1">
      <c r="A1197" s="1852" t="s">
        <v>3344</v>
      </c>
      <c r="B1197" s="2215">
        <f>'Part VII-Pro Forma'!B101</f>
        <v>1.3782355741345131</v>
      </c>
      <c r="C1197" s="2215">
        <f>'Part VII-Pro Forma'!C101</f>
        <v>1.3817854413066091</v>
      </c>
      <c r="D1197" s="2215">
        <f>'Part VII-Pro Forma'!D101</f>
        <v>1.3846866194021035</v>
      </c>
      <c r="E1197" s="2215">
        <f>'Part VII-Pro Forma'!E101</f>
        <v>1.3869060994772233</v>
      </c>
      <c r="F1197" s="2215">
        <f>'Part VII-Pro Forma'!F101</f>
        <v>1.3884034976153083</v>
      </c>
      <c r="G1197" s="2215">
        <f>'Part VII-Pro Forma'!G101</f>
        <v>1.3891431421467055</v>
      </c>
      <c r="H1197" s="2215">
        <f>'Part VII-Pro Forma'!H101</f>
        <v>1.389087960109505</v>
      </c>
      <c r="I1197" s="2215">
        <f>'Part VII-Pro Forma'!I101</f>
        <v>1.3881963953773977</v>
      </c>
      <c r="J1197" s="2215">
        <f>'Part VII-Pro Forma'!J101</f>
        <v>1.3864253916162923</v>
      </c>
      <c r="K1197" s="2215">
        <f>'Part VII-Pro Forma'!K101</f>
        <v>1.3837333735982003</v>
      </c>
      <c r="N1197" s="2043"/>
      <c r="O1197" s="2043"/>
      <c r="Z1197" s="1924" t="s">
        <v>6774</v>
      </c>
      <c r="AA1197" s="2051">
        <v>101</v>
      </c>
    </row>
    <row r="1198" spans="1:27" s="1852" customFormat="1" ht="13.35" customHeight="1">
      <c r="A1198" s="1852" t="s">
        <v>740</v>
      </c>
      <c r="B1198" s="2215">
        <f>'Part VII-Pro Forma'!B102</f>
        <v>1.5300277465714147</v>
      </c>
      <c r="C1198" s="2215">
        <f>'Part VII-Pro Forma'!C102</f>
        <v>1.5162987270110535</v>
      </c>
      <c r="D1198" s="2215">
        <f>'Part VII-Pro Forma'!D102</f>
        <v>1.5026832956904008</v>
      </c>
      <c r="E1198" s="2215">
        <f>'Part VII-Pro Forma'!E102</f>
        <v>1.4891814897434499</v>
      </c>
      <c r="F1198" s="2215">
        <f>'Part VII-Pro Forma'!F102</f>
        <v>1.4757901752018741</v>
      </c>
      <c r="G1198" s="2215">
        <f>'Part VII-Pro Forma'!G102</f>
        <v>1.4625095337803315</v>
      </c>
      <c r="H1198" s="2215">
        <f>'Part VII-Pro Forma'!H102</f>
        <v>1.4493396355752179</v>
      </c>
      <c r="I1198" s="2215">
        <f>'Part VII-Pro Forma'!I102</f>
        <v>1.4362790789763908</v>
      </c>
      <c r="J1198" s="2215">
        <f>'Part VII-Pro Forma'!J102</f>
        <v>1.4233265721095292</v>
      </c>
      <c r="K1198" s="2215">
        <f>'Part VII-Pro Forma'!K102</f>
        <v>1.4104821911354448</v>
      </c>
      <c r="N1198" s="2043"/>
      <c r="O1198" s="2043"/>
      <c r="Z1198" s="1924" t="s">
        <v>6774</v>
      </c>
      <c r="AA1198" s="2051">
        <v>102</v>
      </c>
    </row>
    <row r="1199" spans="1:27" s="1852" customFormat="1" ht="13.35" customHeight="1">
      <c r="A1199" s="1852" t="s">
        <v>2493</v>
      </c>
      <c r="B1199" s="2214">
        <f>'Part VII-Pro Forma'!B103</f>
        <v>3474147.2135102483</v>
      </c>
      <c r="C1199" s="2214">
        <f>'Part VII-Pro Forma'!C103</f>
        <v>3288526.7573780254</v>
      </c>
      <c r="D1199" s="2214">
        <f>'Part VII-Pro Forma'!D103</f>
        <v>3094861.9345766827</v>
      </c>
      <c r="E1199" s="2214">
        <f>'Part VII-Pro Forma'!E103</f>
        <v>2892804.120625623</v>
      </c>
      <c r="F1199" s="2214">
        <f>'Part VII-Pro Forma'!F103</f>
        <v>2681989.5824554111</v>
      </c>
      <c r="G1199" s="2214">
        <f>'Part VII-Pro Forma'!G103</f>
        <v>2462038.8236360354</v>
      </c>
      <c r="H1199" s="2214">
        <f>'Part VII-Pro Forma'!H103</f>
        <v>2232555.901228861</v>
      </c>
      <c r="I1199" s="2214">
        <f>'Part VII-Pro Forma'!I103</f>
        <v>1993127.7130325022</v>
      </c>
      <c r="J1199" s="2214">
        <f>'Part VII-Pro Forma'!J103</f>
        <v>1743323.2539395641</v>
      </c>
      <c r="K1199" s="2214">
        <f>'Part VII-Pro Forma'!K103</f>
        <v>1482692.8400655789</v>
      </c>
      <c r="N1199" s="2043"/>
      <c r="O1199" s="2043"/>
      <c r="Z1199" s="1924" t="s">
        <v>6774</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6774</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6774</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6774</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2294</v>
      </c>
      <c r="B1205" s="2213">
        <f>'Part VII-Pro Forma'!B109</f>
        <v>1685544.4084715345</v>
      </c>
      <c r="C1205" s="2213">
        <f>'Part VII-Pro Forma'!C109</f>
        <v>1719255.2966409649</v>
      </c>
      <c r="D1205" s="2213">
        <f>'Part VII-Pro Forma'!D109</f>
        <v>1753640.4025737846</v>
      </c>
      <c r="E1205" s="2213">
        <f>'Part VII-Pro Forma'!E109</f>
        <v>1788713.2106252604</v>
      </c>
      <c r="F1205" s="2213">
        <f>'Part VII-Pro Forma'!F109</f>
        <v>1824487.4748377653</v>
      </c>
      <c r="G1205" s="2213"/>
      <c r="H1205" s="2213"/>
      <c r="I1205" s="2213"/>
      <c r="J1205" s="2213"/>
      <c r="K1205" s="2213"/>
      <c r="N1205" s="2043"/>
      <c r="O1205" s="2043"/>
      <c r="Z1205" s="1924" t="s">
        <v>6775</v>
      </c>
      <c r="AA1205" s="2051">
        <v>109</v>
      </c>
    </row>
    <row r="1206" spans="1:27" s="1852" customFormat="1" ht="13.35" customHeight="1">
      <c r="A1206" s="1852" t="s">
        <v>977</v>
      </c>
      <c r="B1206" s="2213">
        <f>'Part VII-Pro Forma'!B110</f>
        <v>33710.888169430691</v>
      </c>
      <c r="C1206" s="2213">
        <f>'Part VII-Pro Forma'!C110</f>
        <v>34385.105932819293</v>
      </c>
      <c r="D1206" s="2213">
        <f>'Part VII-Pro Forma'!D110</f>
        <v>35072.808051475688</v>
      </c>
      <c r="E1206" s="2213">
        <f>'Part VII-Pro Forma'!E110</f>
        <v>35774.264212505208</v>
      </c>
      <c r="F1206" s="2213">
        <f>'Part VII-Pro Forma'!F110</f>
        <v>36489.749496755307</v>
      </c>
      <c r="G1206" s="2213"/>
      <c r="H1206" s="2213"/>
      <c r="I1206" s="2213"/>
      <c r="J1206" s="2213"/>
      <c r="K1206" s="2213"/>
      <c r="N1206" s="2043"/>
      <c r="O1206" s="2043"/>
      <c r="Z1206" s="1924" t="s">
        <v>6775</v>
      </c>
      <c r="AA1206" s="2051">
        <v>110</v>
      </c>
    </row>
    <row r="1207" spans="1:27" s="1852" customFormat="1" ht="13.35" customHeight="1">
      <c r="A1207" s="1852" t="s">
        <v>2295</v>
      </c>
      <c r="B1207" s="2213">
        <f>'Part VII-Pro Forma'!B111</f>
        <v>-120347.87076486758</v>
      </c>
      <c r="C1207" s="2213">
        <f>'Part VII-Pro Forma'!C111</f>
        <v>-122754.8281801649</v>
      </c>
      <c r="D1207" s="2213">
        <f>'Part VII-Pro Forma'!D111</f>
        <v>-125209.92474376824</v>
      </c>
      <c r="E1207" s="2213">
        <f>'Part VII-Pro Forma'!E111</f>
        <v>-127714.1232386436</v>
      </c>
      <c r="F1207" s="2213">
        <f>'Part VII-Pro Forma'!F111</f>
        <v>-130268.40570341646</v>
      </c>
      <c r="G1207" s="2213"/>
      <c r="H1207" s="2213"/>
      <c r="I1207" s="2213"/>
      <c r="J1207" s="2213"/>
      <c r="K1207" s="2213"/>
      <c r="N1207" s="2043"/>
      <c r="O1207" s="2043"/>
      <c r="Z1207" s="1924" t="s">
        <v>6775</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6775</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6775</v>
      </c>
      <c r="AA1209" s="2051">
        <v>113</v>
      </c>
    </row>
    <row r="1210" spans="1:27" s="1852" customFormat="1" ht="13.35" customHeight="1">
      <c r="A1210" s="1852" t="s">
        <v>4014</v>
      </c>
      <c r="B1210" s="2213">
        <f>'Part VII-Pro Forma'!B114</f>
        <v>1598907.4258760975</v>
      </c>
      <c r="C1210" s="2213">
        <f>'Part VII-Pro Forma'!C114</f>
        <v>1630885.5743936193</v>
      </c>
      <c r="D1210" s="2213">
        <f>'Part VII-Pro Forma'!D114</f>
        <v>1663503.2858814921</v>
      </c>
      <c r="E1210" s="2213">
        <f>'Part VII-Pro Forma'!E114</f>
        <v>1696773.3515991219</v>
      </c>
      <c r="F1210" s="2213">
        <f>'Part VII-Pro Forma'!F114</f>
        <v>1730708.8186311042</v>
      </c>
      <c r="G1210" s="2213"/>
      <c r="H1210" s="2213"/>
      <c r="I1210" s="2213"/>
      <c r="J1210" s="2213"/>
      <c r="K1210" s="2213"/>
      <c r="N1210" s="2043"/>
      <c r="O1210" s="2043"/>
      <c r="Z1210" s="1924" t="s">
        <v>6775</v>
      </c>
      <c r="AA1210" s="2051">
        <v>114</v>
      </c>
    </row>
    <row r="1211" spans="1:27" s="1852" customFormat="1" ht="13.35" customHeight="1">
      <c r="A1211" s="1852" t="s">
        <v>585</v>
      </c>
      <c r="B1211" s="2213">
        <f>'Part VII-Pro Forma'!B115</f>
        <v>-973242.4422356193</v>
      </c>
      <c r="C1211" s="2213">
        <f>'Part VII-Pro Forma'!C115</f>
        <v>-1002439.7155026881</v>
      </c>
      <c r="D1211" s="2213">
        <f>'Part VII-Pro Forma'!D115</f>
        <v>-1032512.9069677684</v>
      </c>
      <c r="E1211" s="2213">
        <f>'Part VII-Pro Forma'!E115</f>
        <v>-1063488.2941768016</v>
      </c>
      <c r="F1211" s="2213">
        <f>'Part VII-Pro Forma'!F115</f>
        <v>-1095392.9430021055</v>
      </c>
      <c r="G1211" s="2213"/>
      <c r="H1211" s="2213"/>
      <c r="I1211" s="2213"/>
      <c r="J1211" s="2213"/>
      <c r="K1211" s="2213"/>
      <c r="N1211" s="2043"/>
      <c r="O1211" s="2043"/>
      <c r="Z1211" s="1924" t="s">
        <v>6775</v>
      </c>
      <c r="AA1211" s="2051">
        <v>115</v>
      </c>
    </row>
    <row r="1212" spans="1:27" s="1852" customFormat="1" ht="13.35" customHeight="1">
      <c r="A1212" s="1852" t="s">
        <v>1075</v>
      </c>
      <c r="B1212" s="2213">
        <f>'Part VII-Pro Forma'!B116</f>
        <v>-79945</v>
      </c>
      <c r="C1212" s="2213">
        <f>'Part VII-Pro Forma'!C116</f>
        <v>-81544</v>
      </c>
      <c r="D1212" s="2213">
        <f>'Part VII-Pro Forma'!D116</f>
        <v>-83175</v>
      </c>
      <c r="E1212" s="2213">
        <f>'Part VII-Pro Forma'!E116</f>
        <v>-84839</v>
      </c>
      <c r="F1212" s="2213">
        <f>'Part VII-Pro Forma'!F116</f>
        <v>-86535</v>
      </c>
      <c r="G1212" s="2213"/>
      <c r="H1212" s="2213"/>
      <c r="I1212" s="2213"/>
      <c r="J1212" s="2213"/>
      <c r="K1212" s="2213"/>
      <c r="N1212" s="2043"/>
      <c r="O1212" s="2043"/>
      <c r="Z1212" s="1924" t="s">
        <v>6775</v>
      </c>
      <c r="AA1212" s="2051">
        <v>116</v>
      </c>
    </row>
    <row r="1213" spans="1:27" s="1852" customFormat="1" ht="13.35" customHeight="1">
      <c r="A1213" s="1852" t="s">
        <v>1156</v>
      </c>
      <c r="B1213" s="2213">
        <f>'Part VII-Pro Forma'!B117</f>
        <v>-90731.07117306946</v>
      </c>
      <c r="C1213" s="2213">
        <f>'Part VII-Pro Forma'!C117</f>
        <v>-93453.003308261556</v>
      </c>
      <c r="D1213" s="2213">
        <f>'Part VII-Pro Forma'!D117</f>
        <v>-96256.593407509383</v>
      </c>
      <c r="E1213" s="2213">
        <f>'Part VII-Pro Forma'!E117</f>
        <v>-99144.291209734671</v>
      </c>
      <c r="F1213" s="2213">
        <f>'Part VII-Pro Forma'!F117</f>
        <v>-102118.61994602669</v>
      </c>
      <c r="G1213" s="2213"/>
      <c r="H1213" s="2213"/>
      <c r="I1213" s="2213"/>
      <c r="J1213" s="2213"/>
      <c r="K1213" s="2213"/>
      <c r="N1213" s="2043"/>
      <c r="O1213" s="2043"/>
      <c r="Q1213" s="2051">
        <v>10</v>
      </c>
      <c r="R1213" s="2140">
        <f>-SUM(B1219:K1219)</f>
        <v>0</v>
      </c>
      <c r="S1213" s="2140">
        <f>SUM(B1220:K1220)+R1213</f>
        <v>0</v>
      </c>
      <c r="Z1213" s="1924" t="s">
        <v>6775</v>
      </c>
      <c r="AA1213" s="1929">
        <v>117</v>
      </c>
    </row>
    <row r="1214" spans="1:27" s="1852" customFormat="1" ht="13.35" customHeight="1">
      <c r="A1214" s="1852" t="s">
        <v>4013</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6775</v>
      </c>
      <c r="AA1214" s="2051">
        <v>118</v>
      </c>
    </row>
    <row r="1215" spans="1:27" s="1852" customFormat="1" ht="13.35" customHeight="1">
      <c r="A1215" s="1852" t="s">
        <v>1157</v>
      </c>
      <c r="B1215" s="2213">
        <f>'Part VII-Pro Forma'!B119</f>
        <v>454988.91246740875</v>
      </c>
      <c r="C1215" s="2213">
        <f>'Part VII-Pro Forma'!C119</f>
        <v>453448.85558266967</v>
      </c>
      <c r="D1215" s="2213">
        <f>'Part VII-Pro Forma'!D119</f>
        <v>451558.78550621425</v>
      </c>
      <c r="E1215" s="2213">
        <f>'Part VII-Pro Forma'!E119</f>
        <v>449301.76621258567</v>
      </c>
      <c r="F1215" s="2213">
        <f>'Part VII-Pro Forma'!F119</f>
        <v>446662.25568297203</v>
      </c>
      <c r="G1215" s="2213"/>
      <c r="H1215" s="2213"/>
      <c r="I1215" s="2213"/>
      <c r="J1215" s="2213"/>
      <c r="K1215" s="2213"/>
      <c r="N1215" s="2043"/>
      <c r="O1215" s="2043"/>
      <c r="Z1215" s="1924" t="s">
        <v>6775</v>
      </c>
      <c r="AA1215" s="2051">
        <v>119</v>
      </c>
    </row>
    <row r="1216" spans="1:27" s="1852" customFormat="1" ht="13.35" customHeight="1">
      <c r="A1216" s="1852" t="str">
        <f>$A1186</f>
        <v>Mortgage A</v>
      </c>
      <c r="B1216" s="2214">
        <f>'Part VII-Pro Forma'!B120</f>
        <v>-329683.67677046813</v>
      </c>
      <c r="C1216" s="2214">
        <f>'Part VII-Pro Forma'!C120</f>
        <v>-329683.67677046813</v>
      </c>
      <c r="D1216" s="2214">
        <f>'Part VII-Pro Forma'!D120</f>
        <v>-329683.67677046813</v>
      </c>
      <c r="E1216" s="2214">
        <f>'Part VII-Pro Forma'!E120</f>
        <v>-329683.67677046813</v>
      </c>
      <c r="F1216" s="2214">
        <f>'Part VII-Pro Forma'!F120</f>
        <v>-329683.67677046813</v>
      </c>
      <c r="G1216" s="2213"/>
      <c r="H1216" s="2213"/>
      <c r="I1216" s="2213"/>
      <c r="J1216" s="2213"/>
      <c r="K1216" s="2213"/>
      <c r="N1216" s="2043"/>
      <c r="O1216" s="2043"/>
      <c r="Z1216" s="1924" t="s">
        <v>6775</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6775</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6775</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6775</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6775</v>
      </c>
      <c r="AA1220" s="2051">
        <v>124</v>
      </c>
    </row>
    <row r="1221" spans="1:27" s="1852" customFormat="1" ht="13.35" customHeight="1">
      <c r="A1221" s="1852" t="s">
        <v>1121</v>
      </c>
      <c r="B1221" s="2214">
        <f>'Part VII-Pro Forma'!B125</f>
        <v>-3000</v>
      </c>
      <c r="C1221" s="2214">
        <f>'Part VII-Pro Forma'!C125</f>
        <v>-3000</v>
      </c>
      <c r="D1221" s="2214">
        <f>'Part VII-Pro Forma'!D125</f>
        <v>-3000</v>
      </c>
      <c r="E1221" s="2214">
        <f>'Part VII-Pro Forma'!E125</f>
        <v>-3000</v>
      </c>
      <c r="F1221" s="2214">
        <f>'Part VII-Pro Forma'!F125</f>
        <v>-3000</v>
      </c>
      <c r="G1221" s="2213"/>
      <c r="H1221" s="2213"/>
      <c r="I1221" s="2213"/>
      <c r="J1221" s="2213"/>
      <c r="K1221" s="2213"/>
      <c r="N1221" s="2043"/>
      <c r="O1221" s="2043"/>
      <c r="Z1221" s="1924" t="s">
        <v>6775</v>
      </c>
      <c r="AA1221" s="2051">
        <v>125</v>
      </c>
    </row>
    <row r="1222" spans="1:27" s="1852" customFormat="1" ht="13.35" customHeight="1">
      <c r="A1222" s="1852" t="s">
        <v>1122</v>
      </c>
      <c r="B1222" s="2213">
        <f>'Part VII-Pro Forma'!B126</f>
        <v>122305.23569694062</v>
      </c>
      <c r="C1222" s="2213">
        <f>'Part VII-Pro Forma'!C126</f>
        <v>120765.17881220154</v>
      </c>
      <c r="D1222" s="2213">
        <f>'Part VII-Pro Forma'!D126</f>
        <v>118875.10873574612</v>
      </c>
      <c r="E1222" s="2213">
        <f>'Part VII-Pro Forma'!E126</f>
        <v>116618.08944211755</v>
      </c>
      <c r="F1222" s="2213">
        <f>'Part VII-Pro Forma'!F126</f>
        <v>113978.5789125039</v>
      </c>
      <c r="G1222" s="2213"/>
      <c r="H1222" s="2213"/>
      <c r="I1222" s="2213"/>
      <c r="J1222" s="2213"/>
      <c r="K1222" s="2213"/>
      <c r="N1222" s="2043"/>
      <c r="O1222" s="2043"/>
      <c r="Z1222" s="1924" t="s">
        <v>6775</v>
      </c>
      <c r="AA1222" s="2051">
        <v>126</v>
      </c>
    </row>
    <row r="1223" spans="1:27" s="1852" customFormat="1" ht="13.35" customHeight="1">
      <c r="A1223" s="1852" t="str">
        <f>$A1193</f>
        <v>DCR Mortgage A</v>
      </c>
      <c r="B1223" s="2215">
        <f>'Part VII-Pro Forma'!B127</f>
        <v>1.380077160399362</v>
      </c>
      <c r="C1223" s="2215">
        <f>'Part VII-Pro Forma'!C127</f>
        <v>1.3754058436395356</v>
      </c>
      <c r="D1223" s="2215">
        <f>'Part VII-Pro Forma'!D127</f>
        <v>1.3696728631809025</v>
      </c>
      <c r="E1223" s="2215">
        <f>'Part VII-Pro Forma'!E127</f>
        <v>1.362826848492708</v>
      </c>
      <c r="F1223" s="2215">
        <f>'Part VII-Pro Forma'!F127</f>
        <v>1.354820657359832</v>
      </c>
      <c r="G1223" s="2213"/>
      <c r="H1223" s="2213"/>
      <c r="I1223" s="2213"/>
      <c r="J1223" s="2213"/>
      <c r="K1223" s="2213"/>
      <c r="N1223" s="2043"/>
      <c r="O1223" s="2043"/>
      <c r="Z1223" s="1924" t="s">
        <v>6775</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6775</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6775</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6775</v>
      </c>
      <c r="AA1226" s="2051">
        <v>130</v>
      </c>
    </row>
    <row r="1227" spans="1:27" s="1852" customFormat="1" ht="13.35" customHeight="1">
      <c r="A1227" s="1852" t="s">
        <v>3344</v>
      </c>
      <c r="B1227" s="2215">
        <f>'Part VII-Pro Forma'!B131</f>
        <v>1.380077160399362</v>
      </c>
      <c r="C1227" s="2215">
        <f>'Part VII-Pro Forma'!C131</f>
        <v>1.3754058436395356</v>
      </c>
      <c r="D1227" s="2215">
        <f>'Part VII-Pro Forma'!D131</f>
        <v>1.3696728631809025</v>
      </c>
      <c r="E1227" s="2215">
        <f>'Part VII-Pro Forma'!E131</f>
        <v>1.362826848492708</v>
      </c>
      <c r="F1227" s="2215">
        <f>'Part VII-Pro Forma'!F131</f>
        <v>1.354820657359832</v>
      </c>
      <c r="G1227" s="2213"/>
      <c r="H1227" s="2213"/>
      <c r="I1227" s="2213"/>
      <c r="J1227" s="2213"/>
      <c r="K1227" s="2213"/>
      <c r="N1227" s="2043"/>
      <c r="O1227" s="2043"/>
      <c r="Z1227" s="1924" t="s">
        <v>6775</v>
      </c>
      <c r="AA1227" s="1929">
        <v>131</v>
      </c>
    </row>
    <row r="1228" spans="1:27" s="1852" customFormat="1" ht="13.35" customHeight="1">
      <c r="A1228" s="1852" t="s">
        <v>740</v>
      </c>
      <c r="B1228" s="2215">
        <f>'Part VII-Pro Forma'!B132</f>
        <v>1.3977459120856577</v>
      </c>
      <c r="C1228" s="2215">
        <f>'Part VII-Pro Forma'!C132</f>
        <v>1.3851152663563873</v>
      </c>
      <c r="D1228" s="2215">
        <f>'Part VII-Pro Forma'!D132</f>
        <v>1.3725903169381017</v>
      </c>
      <c r="E1228" s="2215">
        <f>'Part VII-Pro Forma'!E132</f>
        <v>1.3601699401220164</v>
      </c>
      <c r="F1228" s="2215">
        <f>'Part VII-Pro Forma'!F132</f>
        <v>1.3478551857632397</v>
      </c>
      <c r="G1228" s="2213"/>
      <c r="H1228" s="2213"/>
      <c r="I1228" s="2213"/>
      <c r="J1228" s="2213"/>
      <c r="K1228" s="2213"/>
      <c r="N1228" s="2043"/>
      <c r="O1228" s="2043"/>
      <c r="Z1228" s="1924" t="s">
        <v>6775</v>
      </c>
      <c r="AA1228" s="2051">
        <v>132</v>
      </c>
    </row>
    <row r="1229" spans="1:27" s="1852" customFormat="1" ht="13.35" customHeight="1">
      <c r="A1229" s="1852" t="s">
        <v>2493</v>
      </c>
      <c r="B1229" s="2214">
        <f>'Part VII-Pro Forma'!B133</f>
        <v>1210767.2992534649</v>
      </c>
      <c r="C1229" s="2214">
        <f>'Part VII-Pro Forma'!C133</f>
        <v>927057.12649629638</v>
      </c>
      <c r="D1229" s="2214">
        <f>'Part VII-Pro Forma'!D133</f>
        <v>631051.60275802528</v>
      </c>
      <c r="E1229" s="2214">
        <f>'Part VII-Pro Forma'!E133</f>
        <v>322217.87560590549</v>
      </c>
      <c r="F1229" s="2214">
        <f>'Part VII-Pro Forma'!F133</f>
        <v>-3.7444988265633583E-7</v>
      </c>
      <c r="G1229" s="2213"/>
      <c r="H1229" s="2213"/>
      <c r="I1229" s="2213"/>
      <c r="J1229" s="2213"/>
      <c r="K1229" s="2213"/>
      <c r="N1229" s="2043"/>
      <c r="O1229" s="2043"/>
      <c r="Z1229" s="1924" t="s">
        <v>6775</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6775</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6775</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6775</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APPLICANTS: Explain any any debt service payment amounts that deviate from the amount shown in Permanent Sources (Part III)</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2021-006 Wagon Works,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7114</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The applicant has submitted a proposed project which conforms to the guidelines in the 2021 GA DCA QAP.  All costs for the proposed redevelopment and construction have been carefully underwritten and reviewed by the experienced parties of the team.  Both the federal ($0.90) and state ($0.60) equity pricing terms and rates are competitive and have been provided by experienced syndicators/investment partners.  The projected operating expenses of $5,001 per unit have been reviewed and approved by the proposed management agent (Hallmark Management, Inc.).  Total Developer Fee and Deferred Developer Fee are within the 2021 GA DCA QAP limits.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2573</v>
      </c>
      <c r="Q1278" s="2230">
        <f>'Part VIII-Threshold Criteria'!Q38</f>
        <v>0</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4133</v>
      </c>
      <c r="Q1279" s="1875"/>
    </row>
    <row r="1280" spans="1:32" s="1852" customFormat="1" ht="10.5" customHeight="1">
      <c r="D1280" s="2231" t="s">
        <v>2561</v>
      </c>
      <c r="F1280" s="2112" t="s">
        <v>3188</v>
      </c>
      <c r="G1280" s="2112" t="s">
        <v>4077</v>
      </c>
      <c r="H1280" s="2112"/>
      <c r="I1280" s="2112"/>
      <c r="K1280" s="2112" t="s">
        <v>3188</v>
      </c>
      <c r="L1280" s="2112" t="s">
        <v>4076</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4134</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23347532</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4120</v>
      </c>
      <c r="Q1286" s="435"/>
      <c r="R1286" s="2242" t="s">
        <v>6610</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3113</v>
      </c>
      <c r="B1288" s="1905"/>
      <c r="C1288" s="1905"/>
      <c r="D1288" s="2232" t="s">
        <v>539</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22340085</v>
      </c>
      <c r="Q1288" s="2235"/>
      <c r="AC1288" s="436"/>
      <c r="AD1288" s="436"/>
      <c r="AE1288" s="436"/>
      <c r="AF1288" s="436"/>
    </row>
    <row r="1289" spans="1:32" s="1852" customFormat="1" ht="12" customHeight="1">
      <c r="A1289" s="1905"/>
      <c r="B1289" s="1905"/>
      <c r="C1289" s="1905"/>
      <c r="D1289" s="2232" t="s">
        <v>2329</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3512</v>
      </c>
      <c r="Q1289" s="1864"/>
      <c r="AC1289" s="436"/>
      <c r="AD1289" s="436"/>
      <c r="AE1289" s="436"/>
      <c r="AF1289" s="436"/>
    </row>
    <row r="1290" spans="1:32" s="1852" customFormat="1" ht="12" customHeight="1">
      <c r="A1290" s="1905"/>
      <c r="B1290" s="1905"/>
      <c r="C1290" s="1905"/>
      <c r="D1290" s="2232" t="s">
        <v>2330</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7115</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0</v>
      </c>
      <c r="G1293" s="2238"/>
      <c r="H1293" s="2239"/>
      <c r="I1293" s="2240">
        <f>SUM(I1288:I1292)</f>
        <v>0</v>
      </c>
      <c r="J1293" s="2241"/>
      <c r="K1293" s="2237">
        <f>SUM(K1288:K1292)</f>
        <v>0</v>
      </c>
      <c r="L1293" s="2241"/>
      <c r="M1293" s="2239"/>
      <c r="N1293" s="2240">
        <f>SUM(N1288:N1292)</f>
        <v>0</v>
      </c>
      <c r="O1293" s="2108"/>
      <c r="P1293" s="2129" t="s">
        <v>3009</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145604.4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t="str">
        <f>IF('Part VI-Revenues &amp; Expenses'!$L$153 =0,"",'Part VI-Revenues &amp; Expenses'!$L$153)</f>
        <v/>
      </c>
      <c r="G1303" s="2234">
        <f>'Part VIII-Threshold Criteria'!G63</f>
        <v>195351.65</v>
      </c>
      <c r="H1303" s="2121" t="str">
        <f>CONCATENATE("x ", F1303," units = ")</f>
        <v xml:space="preserve">x  units = </v>
      </c>
      <c r="I1303" s="2052" t="str">
        <f>IF(F1303="","",F1303*G1303)</f>
        <v/>
      </c>
      <c r="J1303" s="1818"/>
      <c r="K1303" s="2233">
        <f>IF('Part VI-Revenues &amp; Expenses'!$L$154 =0,"",'Part VI-Revenues &amp; Expenses'!$L$154)</f>
        <v>14</v>
      </c>
      <c r="L1303" s="2234">
        <f>G1303*(1+'DCA Underwriting Assumptions'!$Q$12)</f>
        <v>214886.815</v>
      </c>
      <c r="M1303" s="2121" t="str">
        <f>CONCATENATE("x ", K1303," units = ")</f>
        <v xml:space="preserve">x 14 units = </v>
      </c>
      <c r="N1303" s="2052">
        <f>IF(K1303="","",K1303*L1303)</f>
        <v>3008415.41</v>
      </c>
      <c r="O1303" s="2108"/>
      <c r="P1303" s="2245">
        <f>IF(P1290&gt;1,P1290, IF(OR('Part IX Scoring Criteria'!$O$108='Part IX Scoring Criteria'!$M$108,AND('Part IV-A-Uses of Funds'!$T$185="Yes",'Part IX Scoring Criteria'!$O$330&gt;0)),H1309+M1309,H1309))</f>
        <v>24186153.200000003</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t="str">
        <f>IF('Part VI-Revenues &amp; Expenses'!$M$153 =0,"",'Part VI-Revenues &amp; Expenses'!$M$153)</f>
        <v/>
      </c>
      <c r="G1304" s="2234">
        <f>'Part VIII-Threshold Criteria'!G64</f>
        <v>251166.9</v>
      </c>
      <c r="H1304" s="2121" t="str">
        <f>CONCATENATE("x ", F1304," units = ")</f>
        <v xml:space="preserve">x  units = </v>
      </c>
      <c r="I1304" s="2052" t="str">
        <f>IF(F1304="","",F1304*G1304)</f>
        <v/>
      </c>
      <c r="J1304" s="1818"/>
      <c r="K1304" s="2233">
        <f>IF('Part VI-Revenues &amp; Expenses'!$M$154 =0,"",'Part VI-Revenues &amp; Expenses'!$M$154)</f>
        <v>69</v>
      </c>
      <c r="L1304" s="2234">
        <f>G1304*(1+'DCA Underwriting Assumptions'!$Q$12)</f>
        <v>276283.59000000003</v>
      </c>
      <c r="M1304" s="2121" t="str">
        <f>CONCATENATE("x ", K1304," units = ")</f>
        <v xml:space="preserve">x 69 units = </v>
      </c>
      <c r="N1304" s="2052">
        <f>IF(K1304="","",K1304*L1304)</f>
        <v>19063567.710000001</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f>IF('Part VI-Revenues &amp; Expenses'!$N$154 =0,"",'Part VI-Revenues &amp; Expenses'!$N$154)</f>
        <v>6</v>
      </c>
      <c r="L1305" s="2234">
        <f>G1305*(1+'DCA Underwriting Assumptions'!$Q$12)</f>
        <v>352361.68000000005</v>
      </c>
      <c r="M1305" s="2121" t="str">
        <f>CONCATENATE("x ", K1305," units = ")</f>
        <v xml:space="preserve">x 6 units = </v>
      </c>
      <c r="N1305" s="2052">
        <f>IF(K1305="","",K1305*L1305)</f>
        <v>2114170.08</v>
      </c>
      <c r="P1305" s="2229" t="s">
        <v>6846</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0</v>
      </c>
      <c r="G1307" s="2238"/>
      <c r="H1307" s="2239"/>
      <c r="I1307" s="2240">
        <f>SUM(I1302:I1306)</f>
        <v>0</v>
      </c>
      <c r="J1307" s="2241"/>
      <c r="K1307" s="2237">
        <f>SUM(K1302:K1306)</f>
        <v>89</v>
      </c>
      <c r="L1307" s="2241"/>
      <c r="M1307" s="2239"/>
      <c r="N1307" s="2240">
        <f>SUM(N1302:N1306)</f>
        <v>24186153.200000003</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0</v>
      </c>
      <c r="G1309" s="1875"/>
      <c r="H1309" s="1995">
        <f>I1286+I1293+I1300+I1307</f>
        <v>0</v>
      </c>
      <c r="I1309" s="1995"/>
      <c r="J1309" s="1995"/>
      <c r="K1309" s="2247">
        <f>K1286+K1293+K1300+K1307</f>
        <v>89</v>
      </c>
      <c r="L1309" s="2248"/>
      <c r="M1309" s="1995">
        <f>N1286+N1293+N1300+N1307</f>
        <v>24186153.200000003</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The proposed project hard costs were determined with an experienced contractor utilizing benchmarking cost data from comparable current and past projects.  The applicant does not meet or exceed any DCA project cost limits.</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6432</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6433</v>
      </c>
      <c r="C1315" s="1818"/>
      <c r="D1315" s="1818"/>
      <c r="E1315" s="2228"/>
      <c r="F1315" s="2228"/>
      <c r="G1315" s="435" t="str">
        <f>'Part I-Project Information'!$H$82</f>
        <v>Other Non-Senior</v>
      </c>
      <c r="H1315" s="2228"/>
      <c r="J1315" s="2249">
        <f>IF(OR(G1315="Other Senior/Elderly",G1315= "Other Non-Senior"),'Part I-Project Information'!$M$77,"")</f>
        <v>0</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 xml:space="preserve">The project is designed for Family tenancy and offers a mix of one, two, and three bedroom unit floorplans.  The proposed project is ideally located in close proximity (0.2 miles) with walkability to the East Point Marta Station.  </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3949</v>
      </c>
      <c r="M1319" s="2251" t="s">
        <v>3950</v>
      </c>
      <c r="O1319" s="2224" t="s">
        <v>1781</v>
      </c>
      <c r="P1319" s="1719"/>
      <c r="Q1319" s="1719"/>
    </row>
    <row r="1320" spans="1:31" s="1852" customFormat="1" ht="1.5" customHeight="1"/>
    <row r="1321" spans="1:31" s="1852" customFormat="1" ht="12" customHeight="1">
      <c r="A1321" s="2224" t="s">
        <v>1893</v>
      </c>
      <c r="B1321" s="2223" t="s">
        <v>3943</v>
      </c>
      <c r="C1321" s="2223"/>
      <c r="D1321" s="2223"/>
      <c r="E1321" s="2223"/>
      <c r="F1321" s="2223"/>
      <c r="G1321" s="2223"/>
      <c r="H1321" s="2223"/>
      <c r="I1321" s="2223"/>
      <c r="J1321" s="2223"/>
      <c r="L1321" s="2252" t="s">
        <v>2698</v>
      </c>
      <c r="M1321" s="2055">
        <v>2</v>
      </c>
      <c r="N1321" s="2223" t="s">
        <v>4224</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3948</v>
      </c>
      <c r="M1322" s="2252">
        <v>4</v>
      </c>
      <c r="O1322" s="2223"/>
      <c r="P1322" s="2111"/>
      <c r="Q1322" s="435"/>
    </row>
    <row r="1323" spans="1:31" s="1852" customFormat="1" ht="12" customHeight="1">
      <c r="A1323" s="2224"/>
      <c r="D1323" s="2228"/>
      <c r="E1323" s="2228"/>
      <c r="F1323" s="2228"/>
      <c r="G1323" s="2228"/>
      <c r="H1323" s="2228"/>
      <c r="I1323" s="2228"/>
      <c r="J1323" s="2228"/>
      <c r="L1323" s="2228" t="s">
        <v>6410</v>
      </c>
      <c r="M1323" s="2252"/>
      <c r="O1323" s="2223"/>
      <c r="P1323" s="2253">
        <f>'Part VIII-Threshold Criteria'!P83</f>
        <v>2</v>
      </c>
      <c r="Q1323" s="2254"/>
    </row>
    <row r="1324" spans="1:31" s="1852" customFormat="1" ht="12" customHeight="1">
      <c r="A1324" s="2255" t="s">
        <v>1895</v>
      </c>
      <c r="B1324" s="2223" t="s">
        <v>3951</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3955</v>
      </c>
      <c r="D1325" s="2223"/>
      <c r="E1325" s="2223"/>
      <c r="F1325" s="2223"/>
      <c r="G1325" s="2223"/>
      <c r="H1325" s="2223"/>
      <c r="I1325" s="2223"/>
      <c r="J1325" s="2223"/>
      <c r="K1325" s="2223"/>
      <c r="L1325" s="2223"/>
      <c r="N1325" s="2223" t="s">
        <v>4225</v>
      </c>
      <c r="O1325" s="2256"/>
      <c r="P1325" s="2230" t="str">
        <f>'Part VIII-Threshold Criteria'!P85</f>
        <v>N/ap</v>
      </c>
      <c r="Q1325" s="2164"/>
    </row>
    <row r="1326" spans="1:31" s="1852" customFormat="1" ht="12.75" customHeight="1">
      <c r="A1326" s="2255"/>
      <c r="B1326" s="2228" t="s">
        <v>1659</v>
      </c>
      <c r="C1326" s="2223" t="s">
        <v>3952</v>
      </c>
      <c r="D1326" s="2223"/>
      <c r="E1326" s="2223"/>
      <c r="F1326" s="2223"/>
      <c r="G1326" s="2223"/>
      <c r="H1326" s="2223"/>
      <c r="I1326" s="2223"/>
      <c r="J1326" s="2223"/>
      <c r="K1326" s="2223"/>
      <c r="L1326" s="2223"/>
      <c r="N1326" s="2223" t="s">
        <v>4226</v>
      </c>
      <c r="O1326" s="2256"/>
      <c r="P1326" s="2230" t="str">
        <f>'Part VIII-Threshold Criteria'!P86</f>
        <v>Agree</v>
      </c>
      <c r="Q1326" s="2164"/>
    </row>
    <row r="1327" spans="1:31" s="1852" customFormat="1" ht="12.75" customHeight="1">
      <c r="A1327" s="2224"/>
      <c r="B1327" s="2228" t="s">
        <v>1660</v>
      </c>
      <c r="C1327" s="2223" t="s">
        <v>3953</v>
      </c>
      <c r="E1327" s="2223"/>
      <c r="F1327" s="2223"/>
      <c r="G1327" s="2223"/>
      <c r="H1327" s="2223"/>
      <c r="I1327" s="2223"/>
      <c r="J1327" s="2223"/>
      <c r="K1327" s="2223"/>
      <c r="L1327" s="2223"/>
      <c r="M1327" s="2256"/>
      <c r="N1327" s="2223" t="s">
        <v>4227</v>
      </c>
      <c r="O1327" s="2256"/>
      <c r="P1327" s="2230" t="str">
        <f>'Part VIII-Threshold Criteria'!P87</f>
        <v>Agree</v>
      </c>
      <c r="Q1327" s="2164"/>
    </row>
    <row r="1328" spans="1:31" s="1852" customFormat="1" ht="12.75" customHeight="1">
      <c r="A1328" s="2257"/>
      <c r="B1328" s="2228" t="s">
        <v>2260</v>
      </c>
      <c r="C1328" s="2228" t="s">
        <v>3956</v>
      </c>
      <c r="D1328" s="435"/>
      <c r="E1328" s="435"/>
      <c r="F1328" s="435"/>
      <c r="G1328" s="435"/>
      <c r="H1328" s="435"/>
      <c r="I1328" s="1818"/>
      <c r="J1328" s="1818"/>
      <c r="N1328" s="2223" t="s">
        <v>4228</v>
      </c>
      <c r="O1328" s="2256"/>
      <c r="P1328" s="2230" t="str">
        <f>'Part VIII-Threshold Criteria'!P88</f>
        <v>N/Ap</v>
      </c>
      <c r="Q1328" s="2164"/>
    </row>
    <row r="1329" spans="1:31" s="1852" customFormat="1" ht="12.75" customHeight="1">
      <c r="A1329" s="2257"/>
      <c r="B1329" s="2228"/>
      <c r="C1329" s="2223" t="s">
        <v>3957</v>
      </c>
      <c r="D1329" s="435"/>
      <c r="E1329" s="435"/>
      <c r="F1329" s="435"/>
      <c r="G1329" s="435"/>
      <c r="H1329" s="435"/>
      <c r="I1329" s="1818"/>
      <c r="J1329" s="1818"/>
      <c r="L1329" s="2111" t="str">
        <f>'Part VIII-Threshold Criteria'!L89</f>
        <v>N/A</v>
      </c>
      <c r="M1329" s="2111"/>
      <c r="N1329" s="2111"/>
      <c r="O1329" s="2111"/>
      <c r="P1329" s="2111"/>
      <c r="Q1329" s="2111"/>
    </row>
    <row r="1330" spans="1:31" s="1852" customFormat="1" ht="12.75" customHeight="1">
      <c r="A1330" s="2257"/>
      <c r="B1330" s="2228" t="s">
        <v>1487</v>
      </c>
      <c r="C1330" s="2223" t="s">
        <v>3954</v>
      </c>
      <c r="D1330" s="2223"/>
      <c r="E1330" s="2223"/>
      <c r="F1330" s="2223"/>
      <c r="G1330" s="2223"/>
      <c r="H1330" s="2223"/>
      <c r="I1330" s="2223"/>
      <c r="J1330" s="2223"/>
      <c r="K1330" s="2223"/>
      <c r="L1330" s="2223"/>
      <c r="M1330" s="2112"/>
      <c r="N1330" s="2223" t="s">
        <v>4229</v>
      </c>
      <c r="O1330" s="2256"/>
      <c r="P1330" s="2230">
        <f>'Part VIII-Threshold Criteria'!P90</f>
        <v>0</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Applicant will provide at a minimum two of the required services as required for a property of this tenancy.</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4220</v>
      </c>
      <c r="C1335" s="2105"/>
      <c r="D1335" s="2228"/>
      <c r="E1335" s="2228"/>
      <c r="F1335" s="2228"/>
      <c r="G1335" s="2228"/>
      <c r="H1335" s="2164" t="str">
        <f>'Part I-Project Information'!$K$41</f>
        <v>Urban</v>
      </c>
      <c r="J1335" s="2255" t="s">
        <v>4223</v>
      </c>
      <c r="K1335" s="435" t="str">
        <f>'Part I-Project Information'!$H$105</f>
        <v>Atlanta Metro</v>
      </c>
      <c r="L1335" s="2255" t="s">
        <v>3986</v>
      </c>
      <c r="M1335" s="2121" t="str">
        <f>'Part I-Project Information'!$H$77</f>
        <v>Family</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John Wall &amp; Associates</v>
      </c>
      <c r="N1337" s="2111"/>
      <c r="O1337" s="2111"/>
      <c r="P1337" s="1976"/>
      <c r="Q1337" s="2164"/>
    </row>
    <row r="1338" spans="1:31" s="1852" customFormat="1" ht="12.75" customHeight="1">
      <c r="A1338" s="2255" t="s">
        <v>1895</v>
      </c>
      <c r="B1338" s="435" t="s">
        <v>4146</v>
      </c>
      <c r="D1338" s="435"/>
      <c r="E1338" s="435"/>
      <c r="F1338" s="435"/>
      <c r="L1338" s="2255" t="s">
        <v>1895</v>
      </c>
      <c r="M1338" s="2111" t="str">
        <f>'Part VIII-Threshold Criteria'!M98</f>
        <v>6 months</v>
      </c>
      <c r="N1338" s="2111"/>
      <c r="O1338" s="2111"/>
      <c r="P1338" s="1976"/>
      <c r="Q1338" s="2164"/>
    </row>
    <row r="1339" spans="1:31" s="1852" customFormat="1" ht="12.75" customHeight="1">
      <c r="A1339" s="2255" t="s">
        <v>719</v>
      </c>
      <c r="B1339" s="435" t="s">
        <v>2671</v>
      </c>
      <c r="D1339" s="435"/>
      <c r="E1339" s="435"/>
      <c r="F1339" s="435"/>
      <c r="L1339" s="2255" t="s">
        <v>719</v>
      </c>
      <c r="M1339" s="2258">
        <f>'Part VIII-Threshold Criteria'!M99</f>
        <v>0.93</v>
      </c>
      <c r="N1339" s="2258"/>
      <c r="O1339" s="2258"/>
      <c r="P1339" s="2259"/>
      <c r="Q1339" s="2164"/>
    </row>
    <row r="1340" spans="1:31" s="1852" customFormat="1" ht="12.75" customHeight="1">
      <c r="A1340" s="2255" t="s">
        <v>2021</v>
      </c>
      <c r="B1340" s="435" t="s">
        <v>3443</v>
      </c>
      <c r="D1340" s="435"/>
      <c r="E1340" s="435"/>
      <c r="F1340" s="435"/>
      <c r="J1340" s="2255" t="s">
        <v>3444</v>
      </c>
      <c r="K1340" s="2260">
        <f>'Part VIII-Threshold Criteria'!K100</f>
        <v>1.2E-2</v>
      </c>
      <c r="L1340" s="2261"/>
      <c r="N1340" s="2262"/>
      <c r="O1340" s="2263" t="s">
        <v>3540</v>
      </c>
      <c r="P1340" s="2260" t="str">
        <f>'Part VIII-Threshold Criteria'!P100</f>
        <v>N/A</v>
      </c>
      <c r="Q1340" s="2261"/>
    </row>
    <row r="1341" spans="1:31" s="1852" customFormat="1" ht="12.75" customHeight="1">
      <c r="A1341" s="2255" t="s">
        <v>1656</v>
      </c>
      <c r="B1341" s="435" t="s">
        <v>4147</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15-024</v>
      </c>
      <c r="E1343" s="2111" t="str">
        <f>'Part VIII-Threshold Criteria'!E103</f>
        <v>Mallalieu Pointe</v>
      </c>
      <c r="F1343" s="2111"/>
      <c r="G1343" s="2111"/>
      <c r="H1343" s="2255" t="s">
        <v>1660</v>
      </c>
      <c r="I1343" s="2230" t="str">
        <f>'Part VIII-Threshold Criteria'!I103</f>
        <v>04-034</v>
      </c>
      <c r="J1343" s="2111" t="str">
        <f>'Part VIII-Threshold Criteria'!J103</f>
        <v>Heritage Green</v>
      </c>
      <c r="K1343" s="2111"/>
      <c r="L1343" s="2111"/>
      <c r="M1343" s="2255" t="s">
        <v>1487</v>
      </c>
      <c r="N1343" s="2230" t="str">
        <f>'Part VIII-Threshold Criteria'!N103</f>
        <v>02-035</v>
      </c>
      <c r="O1343" s="2111" t="str">
        <f>'Part VIII-Threshold Criteria'!O103</f>
        <v>Heritage Green</v>
      </c>
      <c r="P1343" s="2111"/>
      <c r="Q1343" s="2111"/>
    </row>
    <row r="1344" spans="1:31" s="1852" customFormat="1" ht="12.75" customHeight="1">
      <c r="C1344" s="2255" t="s">
        <v>1659</v>
      </c>
      <c r="D1344" s="2230" t="str">
        <f>'Part VIII-Threshold Criteria'!D104</f>
        <v>20-024</v>
      </c>
      <c r="E1344" s="2111" t="str">
        <f>'Part VIII-Threshold Criteria'!E104</f>
        <v>Diamond College Park</v>
      </c>
      <c r="F1344" s="2111"/>
      <c r="G1344" s="2111"/>
      <c r="H1344" s="2255" t="s">
        <v>2260</v>
      </c>
      <c r="I1344" s="2230" t="str">
        <f>'Part VIII-Threshold Criteria'!I104</f>
        <v>99-039</v>
      </c>
      <c r="J1344" s="2111" t="str">
        <f>'Part VIII-Threshold Criteria'!J104</f>
        <v>Village of College Park (4%)</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6324</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6326</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6328</v>
      </c>
      <c r="D1347" s="435"/>
      <c r="E1347" s="435"/>
      <c r="F1347" s="435"/>
      <c r="G1347" s="435"/>
      <c r="H1347" s="435"/>
      <c r="I1347" s="1818"/>
      <c r="J1347" s="1818"/>
      <c r="K1347" s="435"/>
      <c r="L1347" s="2121"/>
      <c r="M1347" s="2121"/>
      <c r="O1347" s="2255" t="s">
        <v>3124</v>
      </c>
      <c r="P1347" s="2260">
        <f>'Part VIII-Threshold Criteria'!P107</f>
        <v>0.93</v>
      </c>
      <c r="Q1347" s="2261"/>
    </row>
    <row r="1348" spans="1:31" s="2158" customFormat="1" ht="60" customHeight="1">
      <c r="A1348" s="2224" t="s">
        <v>586</v>
      </c>
      <c r="B1348" s="2223" t="s">
        <v>7040</v>
      </c>
      <c r="C1348" s="2223"/>
      <c r="D1348" s="2223"/>
      <c r="E1348" s="2223"/>
      <c r="F1348" s="2223"/>
      <c r="G1348" s="2223"/>
      <c r="H1348" s="2223"/>
      <c r="I1348" s="2223"/>
      <c r="J1348" s="2223"/>
      <c r="K1348" s="2223"/>
      <c r="L1348" s="2223"/>
      <c r="M1348" s="2223"/>
      <c r="N1348" s="2223"/>
      <c r="O1348" s="2224" t="s">
        <v>6327</v>
      </c>
      <c r="P1348" s="2264" t="str">
        <f>'Part VIII-Threshold Criteria'!P108</f>
        <v>Yes</v>
      </c>
      <c r="Q1348" s="2252"/>
    </row>
    <row r="1349" spans="1:31" s="1818" customFormat="1" ht="12.75" customHeight="1">
      <c r="A1349" s="2255"/>
      <c r="B1349" s="2228" t="s">
        <v>1659</v>
      </c>
      <c r="C1349" s="435" t="s">
        <v>4276</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The market study for our proposed project in East Point, GA outlines immediate strong demand, need and is overall highly supportive of our proposed project within the local area and rental market.  The overall capture rate for the proposed tax credit units in our market study report is 1.20%.  The are no market rate units in our proposed project, therefore the capture rate for market rate units is not applicable to our proposed project.  The absorption rate within our market study outlines a period of 6 months.  According to the market study the proposed development would have no long term impact on existing LIHTC developments within the immediate market.  For additional details, please see the full market study report in Tab 5 of this application.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4230</v>
      </c>
      <c r="C1356" s="435"/>
      <c r="E1356" s="435"/>
      <c r="F1356" s="435"/>
      <c r="G1356" s="435"/>
      <c r="H1356" s="435"/>
      <c r="I1356" s="435"/>
      <c r="J1356" s="435"/>
      <c r="K1356" s="435"/>
      <c r="L1356" s="2121"/>
      <c r="M1356" s="2121"/>
      <c r="O1356" s="2255" t="s">
        <v>1893</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4012</v>
      </c>
      <c r="O1358" s="2255" t="s">
        <v>1659</v>
      </c>
      <c r="P1358" s="2230">
        <f>'Part VIII-Threshold Criteria'!P118</f>
        <v>0</v>
      </c>
      <c r="Q1358" s="2164"/>
    </row>
    <row r="1359" spans="1:31" s="1818" customFormat="1" ht="12.75" customHeight="1">
      <c r="B1359" s="2228" t="s">
        <v>1660</v>
      </c>
      <c r="C1359" s="435" t="s">
        <v>4257</v>
      </c>
      <c r="O1359" s="2224" t="s">
        <v>1660</v>
      </c>
      <c r="P1359" s="2265">
        <f>'Part VIII-Threshold Criteria'!P119</f>
        <v>0</v>
      </c>
      <c r="Q1359" s="2266"/>
    </row>
    <row r="1360" spans="1:31" s="1852" customFormat="1" ht="12.75" customHeight="1">
      <c r="A1360" s="2164"/>
      <c r="B1360" s="2228" t="s">
        <v>2260</v>
      </c>
      <c r="C1360" s="2121" t="s">
        <v>3958</v>
      </c>
      <c r="D1360" s="2105"/>
      <c r="E1360" s="2105"/>
      <c r="F1360" s="2105"/>
      <c r="G1360" s="2105"/>
      <c r="H1360" s="2105"/>
      <c r="I1360" s="2105"/>
      <c r="J1360" s="2105"/>
      <c r="K1360" s="2105"/>
      <c r="L1360" s="2105"/>
      <c r="M1360" s="2105"/>
      <c r="O1360" s="2224" t="s">
        <v>2260</v>
      </c>
      <c r="P1360" s="2230">
        <f>'Part VIII-Threshold Criteria'!P120</f>
        <v>0</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4149</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4148</v>
      </c>
      <c r="C1365" s="435"/>
      <c r="E1365" s="435"/>
      <c r="F1365" s="435"/>
      <c r="G1365" s="435"/>
      <c r="H1365" s="435"/>
      <c r="I1365" s="435"/>
      <c r="J1365" s="435"/>
      <c r="K1365" s="435"/>
      <c r="L1365" s="435"/>
      <c r="M1365" s="435"/>
      <c r="O1365" s="2255" t="s">
        <v>1895</v>
      </c>
      <c r="P1365" s="2230">
        <f>'Part VIII-Threshold Criteria'!P125</f>
        <v>0</v>
      </c>
      <c r="Q1365" s="2164"/>
    </row>
    <row r="1366" spans="1:31" s="1852" customFormat="1" ht="12.75" customHeight="1">
      <c r="B1366" s="2228" t="s">
        <v>1658</v>
      </c>
      <c r="C1366" s="435" t="s">
        <v>4279</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4278</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Our proposed project is tax credit only and is not claiming acquisition tax credits.  There is no Identitiy of interest between the buyer and the seller.  Therefore, an appraisal report is not required for the application as per the applicable DCA 2021 QAP guidelines at this juncture.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6439</v>
      </c>
      <c r="D1374" s="435"/>
      <c r="E1374" s="435"/>
      <c r="F1374" s="435"/>
      <c r="G1374" s="435"/>
      <c r="H1374" s="435"/>
      <c r="I1374" s="1818"/>
      <c r="J1374" s="1818"/>
      <c r="K1374" s="2255" t="s">
        <v>1893</v>
      </c>
      <c r="L1374" s="2183" t="str">
        <f>'Part VIII-Threshold Criteria'!L134</f>
        <v>Geotechnical &amp; Environmental Consultants, Inc.</v>
      </c>
      <c r="M1374" s="2183"/>
      <c r="N1374" s="2183"/>
      <c r="O1374" s="2183"/>
      <c r="P1374" s="2183"/>
      <c r="Q1374" s="2164"/>
    </row>
    <row r="1375" spans="1:31" s="1852" customFormat="1" ht="12" customHeight="1">
      <c r="B1375" s="2112" t="s">
        <v>6440</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Yes</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2540</v>
      </c>
      <c r="E1378" s="435"/>
      <c r="F1378" s="435"/>
      <c r="G1378" s="435"/>
      <c r="H1378" s="435"/>
      <c r="I1378" s="1818"/>
      <c r="J1378" s="1818"/>
      <c r="K1378" s="2255" t="s">
        <v>1658</v>
      </c>
      <c r="L1378" s="2183" t="str">
        <f>'Part VIII-Threshold Criteria'!L138</f>
        <v xml:space="preserve">Geotechnical &amp; Environmental Consultants, Inc. </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f>'Part VIII-Threshold Criteria'!P139</f>
        <v>65</v>
      </c>
      <c r="Q1379" s="2164"/>
    </row>
    <row r="1380" spans="1:17" s="1852" customFormat="1" ht="12" customHeight="1">
      <c r="A1380" s="2141"/>
      <c r="B1380" s="2121" t="s">
        <v>1660</v>
      </c>
      <c r="C1380" s="435" t="s">
        <v>3944</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4040</v>
      </c>
      <c r="I1382" s="435" t="s">
        <v>6329</v>
      </c>
      <c r="K1382" s="2230" t="str">
        <f>'Part VIII-Threshold Criteria'!K142</f>
        <v>Yes</v>
      </c>
      <c r="L1382" s="2164"/>
      <c r="M1382" s="2255" t="s">
        <v>4044</v>
      </c>
      <c r="N1382" s="2112" t="s">
        <v>3418</v>
      </c>
      <c r="O1382" s="2121"/>
      <c r="P1382" s="2230" t="str">
        <f>'Part VIII-Threshold Criteria'!P142</f>
        <v>No</v>
      </c>
      <c r="Q1382" s="2164"/>
    </row>
    <row r="1383" spans="1:17" s="1852" customFormat="1" ht="12.75" customHeight="1">
      <c r="B1383" s="2121" t="s">
        <v>1659</v>
      </c>
      <c r="C1383" s="435" t="s">
        <v>6441</v>
      </c>
      <c r="E1383" s="435"/>
      <c r="F1383" s="2230" t="str">
        <f>'Part VIII-Threshold Criteria'!F143</f>
        <v>No</v>
      </c>
      <c r="G1383" s="2164"/>
      <c r="H1383" s="2255" t="s">
        <v>4041</v>
      </c>
      <c r="I1383" s="435" t="s">
        <v>6330</v>
      </c>
      <c r="K1383" s="2230" t="str">
        <f>'Part VIII-Threshold Criteria'!K143</f>
        <v>Yes</v>
      </c>
      <c r="L1383" s="2164"/>
      <c r="M1383" s="2255" t="s">
        <v>4045</v>
      </c>
      <c r="N1383" s="435" t="s">
        <v>1489</v>
      </c>
      <c r="P1383" s="2230" t="str">
        <f>'Part VIII-Threshold Criteria'!P143</f>
        <v>No</v>
      </c>
      <c r="Q1383" s="2164"/>
    </row>
    <row r="1384" spans="1:17" s="1852" customFormat="1" ht="12" customHeight="1">
      <c r="A1384" s="435"/>
      <c r="B1384" s="2121" t="s">
        <v>1660</v>
      </c>
      <c r="C1384" s="435" t="s">
        <v>6442</v>
      </c>
      <c r="E1384" s="435"/>
      <c r="F1384" s="2230" t="str">
        <f>'Part VIII-Threshold Criteria'!F144</f>
        <v>No</v>
      </c>
      <c r="G1384" s="2164"/>
      <c r="H1384" s="2255" t="s">
        <v>4042</v>
      </c>
      <c r="I1384" s="2112" t="s">
        <v>6443</v>
      </c>
      <c r="K1384" s="2230" t="str">
        <f>'Part VIII-Threshold Criteria'!K144</f>
        <v>Yes</v>
      </c>
      <c r="L1384" s="2164"/>
      <c r="M1384" s="2255" t="s">
        <v>6444</v>
      </c>
      <c r="N1384" s="2112" t="s">
        <v>6331</v>
      </c>
      <c r="P1384" s="2230" t="str">
        <f>'Part VIII-Threshold Criteria'!P144</f>
        <v>Yes</v>
      </c>
      <c r="Q1384" s="2164"/>
    </row>
    <row r="1385" spans="1:17" s="1852" customFormat="1" ht="12" customHeight="1">
      <c r="A1385" s="435"/>
      <c r="B1385" s="2121" t="s">
        <v>2260</v>
      </c>
      <c r="C1385" s="2112" t="s">
        <v>2503</v>
      </c>
      <c r="E1385" s="435"/>
      <c r="F1385" s="2230" t="str">
        <f>'Part VIII-Threshold Criteria'!F145</f>
        <v>No</v>
      </c>
      <c r="G1385" s="2164"/>
      <c r="H1385" s="2255" t="s">
        <v>4043</v>
      </c>
      <c r="I1385" s="2223" t="s">
        <v>6446</v>
      </c>
      <c r="J1385" s="2223"/>
      <c r="K1385" s="2223"/>
      <c r="M1385" s="2255" t="s">
        <v>6445</v>
      </c>
      <c r="N1385" s="435" t="s">
        <v>141</v>
      </c>
      <c r="P1385" s="2230" t="str">
        <f>'Part VIII-Threshold Criteria'!P145</f>
        <v>Yes</v>
      </c>
      <c r="Q1385" s="2164"/>
    </row>
    <row r="1386" spans="1:17" s="1852" customFormat="1" ht="12" customHeight="1">
      <c r="A1386" s="435"/>
      <c r="B1386" s="2255" t="s">
        <v>4039</v>
      </c>
      <c r="C1386" s="435" t="s">
        <v>2611</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6465</v>
      </c>
      <c r="C1387" s="435" t="s">
        <v>2612</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No</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2260</v>
      </c>
      <c r="C1393" s="435" t="s">
        <v>4026</v>
      </c>
      <c r="E1393" s="435"/>
      <c r="F1393" s="435"/>
      <c r="G1393" s="435"/>
      <c r="H1393" s="435"/>
      <c r="I1393" s="1818"/>
      <c r="J1393" s="1818"/>
      <c r="K1393" s="435"/>
      <c r="L1393" s="435"/>
      <c r="M1393" s="435"/>
      <c r="O1393" s="2255" t="s">
        <v>2260</v>
      </c>
      <c r="P1393" s="2230" t="str">
        <f>'Part VIII-Threshold Criteria'!P153</f>
        <v>No</v>
      </c>
      <c r="Q1393" s="2164"/>
    </row>
    <row r="1394" spans="1:31" s="1852" customFormat="1" ht="12" customHeight="1">
      <c r="A1394" s="2112" t="s">
        <v>4150</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7116</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 xml:space="preserve">The Environmental Phase I and Phase II prepared for the site found Radon, Asbestos, Lead and Brownfield issues.  Each of the issues were anticipated with the Historic Preservation of the former mill and have been budgeted for and addressed in the PNA, Rehab Scope of Work.  Materials that are not possible to abate due to the historic nature will be encapsulated and maintained in accordance with  the O&amp;M plans which have been included as addendums to the Environmental Reports.
 </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7041</v>
      </c>
      <c r="D1403" s="435"/>
      <c r="E1403" s="435"/>
      <c r="F1403" s="435"/>
      <c r="G1403" s="435"/>
      <c r="K1403" s="435" t="s">
        <v>2555</v>
      </c>
      <c r="M1403" s="2267">
        <f>'Part VIII-Threshold Criteria'!M163</f>
        <v>44681</v>
      </c>
      <c r="N1403" s="2267"/>
      <c r="O1403" s="2255" t="s">
        <v>1658</v>
      </c>
      <c r="P1403" s="2230" t="str">
        <f>'Part VIII-Threshold Criteria'!P163</f>
        <v>Yes</v>
      </c>
      <c r="Q1403" s="2164"/>
    </row>
    <row r="1404" spans="1:31" s="1852" customFormat="1" ht="12" customHeight="1">
      <c r="A1404" s="2255"/>
      <c r="B1404" s="2121" t="s">
        <v>1659</v>
      </c>
      <c r="C1404" s="435" t="s">
        <v>7042</v>
      </c>
      <c r="D1404" s="435"/>
      <c r="E1404" s="435"/>
      <c r="F1404" s="435"/>
      <c r="G1404" s="435"/>
      <c r="K1404" s="435" t="s">
        <v>2555</v>
      </c>
      <c r="M1404" s="2267" t="str">
        <f>'Part VIII-Threshold Criteria'!M164</f>
        <v>N/A</v>
      </c>
      <c r="N1404" s="2267"/>
      <c r="O1404" s="2255" t="s">
        <v>1659</v>
      </c>
      <c r="P1404" s="2230" t="str">
        <f>'Part VIII-Threshold Criteria'!P164</f>
        <v>No</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Hallmark Wagon Works, LP</v>
      </c>
      <c r="L1406" s="2111"/>
      <c r="M1406" s="2111"/>
      <c r="N1406" s="2111"/>
      <c r="O1406" s="2111"/>
      <c r="P1406" s="2111"/>
      <c r="Q1406" s="2164"/>
    </row>
    <row r="1407" spans="1:31" s="1852" customFormat="1" ht="21.75" customHeight="1">
      <c r="A1407" s="2224" t="s">
        <v>2021</v>
      </c>
      <c r="B1407" s="2223" t="s">
        <v>6447</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 xml:space="preserve">The applicant, Hallmark Wagon Works, LP, is the entity with site control.  The purchase and sale agreement between the applicant and the seller is included in Tab 8 of the application.  </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3366</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3959</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4007</v>
      </c>
      <c r="C1417" s="2223"/>
      <c r="D1417" s="2223"/>
      <c r="E1417" s="2223"/>
      <c r="F1417" s="2223"/>
      <c r="G1417" s="2223"/>
      <c r="H1417" s="2223"/>
      <c r="I1417" s="2223"/>
      <c r="J1417" s="2223"/>
      <c r="K1417" s="2223"/>
      <c r="L1417" s="2223"/>
      <c r="M1417" s="2223"/>
      <c r="N1417" s="2223"/>
      <c r="O1417" s="2224" t="s">
        <v>2021</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 xml:space="preserve">The site has direct access public roads. The site has vehicular access to R.N. Martin Street and pedestrian access to R.N. Martin and Cleveland Avenue.  Please see the pictures from the Proposed Entrance, Boundary Survey, Conceptual Site Plan and other documentation in our application for further verification of site access to public roads.   </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6377</v>
      </c>
      <c r="O1423" s="2224" t="s">
        <v>1781</v>
      </c>
      <c r="P1423" s="1719"/>
      <c r="Q1423" s="1719"/>
    </row>
    <row r="1424" spans="1:44" s="1852" customFormat="1" ht="11.45" customHeight="1">
      <c r="B1424" s="2112" t="s">
        <v>6448</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6333</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2504</v>
      </c>
      <c r="D1427" s="2228"/>
      <c r="E1427" s="2228"/>
      <c r="F1427" s="2228"/>
      <c r="G1427" s="2228"/>
      <c r="H1427" s="2228"/>
      <c r="I1427" s="2228"/>
      <c r="J1427" s="2223" t="s">
        <v>4009</v>
      </c>
      <c r="L1427" s="2228"/>
      <c r="M1427" s="2228"/>
      <c r="O1427" s="2224" t="s">
        <v>719</v>
      </c>
      <c r="P1427" s="2230" t="str">
        <f>'Part VIII-Threshold Criteria'!P187</f>
        <v>Yes</v>
      </c>
      <c r="Q1427" s="2164"/>
    </row>
    <row r="1428" spans="1:31" s="1852" customFormat="1" ht="12" customHeight="1">
      <c r="B1428" s="2121" t="s">
        <v>1658</v>
      </c>
      <c r="C1428" s="2121" t="s">
        <v>2505</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7117</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t="str">
        <f>'Part VIII-Threshold Criteria'!P191</f>
        <v>Yes</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t="str">
        <f>'Part VIII-Threshold Criteria'!P192</f>
        <v>No</v>
      </c>
      <c r="Q1432" s="2252"/>
    </row>
    <row r="1433" spans="1:31" s="2158" customFormat="1" ht="21.75" customHeight="1">
      <c r="A1433" s="2224"/>
      <c r="B1433" s="2228" t="s">
        <v>1488</v>
      </c>
      <c r="C1433" s="2223" t="s">
        <v>3445</v>
      </c>
      <c r="D1433" s="2223"/>
      <c r="E1433" s="2223"/>
      <c r="F1433" s="2223"/>
      <c r="G1433" s="2223"/>
      <c r="H1433" s="2223"/>
      <c r="I1433" s="2223"/>
      <c r="J1433" s="2223"/>
      <c r="K1433" s="2223"/>
      <c r="L1433" s="2223"/>
      <c r="M1433" s="2223"/>
      <c r="N1433" s="2223"/>
      <c r="O1433" s="2224" t="s">
        <v>1488</v>
      </c>
      <c r="P1433" s="2230" t="str">
        <f>'Part VIII-Threshold Criteria'!P193</f>
        <v>No</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The current zoning for the property is MIX-C which includes multi-family as a permitted use within the zoning designation.  Please see the signed zoning verification letter and conditions executed by Tony Alston, Senior Planner, City of East Point located in Tab 10.</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6377</v>
      </c>
      <c r="G1441" s="2228"/>
      <c r="J1441" s="2223"/>
      <c r="K1441" s="2223"/>
      <c r="L1441" s="2223"/>
      <c r="M1441" s="2223"/>
      <c r="N1441" s="2223"/>
      <c r="O1441" s="2224" t="s">
        <v>1781</v>
      </c>
      <c r="P1441" s="1719"/>
      <c r="Q1441" s="1719"/>
    </row>
    <row r="1442" spans="1:44" s="1852" customFormat="1" ht="12.75" customHeight="1">
      <c r="B1442" s="2112" t="s">
        <v>6448</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Atlanta Gas Light</v>
      </c>
      <c r="K1444" s="2111"/>
      <c r="L1444" s="2111"/>
      <c r="M1444" s="2111"/>
      <c r="N1444" s="2111"/>
      <c r="O1444" s="2255" t="s">
        <v>1658</v>
      </c>
      <c r="P1444" s="2230" t="str">
        <f>'Part VIII-Threshold Criteria'!P204</f>
        <v>Yes</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East Point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East Point Power currently has electrical service available and will continue to have electrical service available for our proposed project.  Please see the executed letter from Shawn Dowe , director of East Point Power in Tab 11 of the application for further verification.  Natural Gas is also available to the site.  Please see natural gas availabilty verification letter from Atlanta Gas Light that is also included in the Tab 11 of the application for further verification.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6378</v>
      </c>
      <c r="J1450" s="2228"/>
      <c r="K1450" s="2228"/>
      <c r="L1450" s="2228"/>
      <c r="M1450" s="2228"/>
      <c r="O1450" s="2224" t="s">
        <v>1781</v>
      </c>
      <c r="P1450" s="1719"/>
      <c r="Q1450" s="1719"/>
    </row>
    <row r="1451" spans="1:44" s="1852" customFormat="1" ht="12.75" customHeight="1">
      <c r="B1451" s="2112" t="s">
        <v>6448</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City of East Point</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East Point</v>
      </c>
      <c r="K1453" s="2111"/>
      <c r="L1453" s="2111"/>
      <c r="M1453" s="2111"/>
      <c r="N1453" s="2111"/>
      <c r="O1453" s="2224" t="s">
        <v>1659</v>
      </c>
      <c r="P1453" s="2230" t="str">
        <f>'Part VIII-Threshold Criteria'!P213</f>
        <v>Yes</v>
      </c>
      <c r="Q1453" s="2164"/>
    </row>
    <row r="1454" spans="1:44" s="1852" customFormat="1" ht="12.75" customHeight="1">
      <c r="A1454" s="2224" t="s">
        <v>1895</v>
      </c>
      <c r="B1454" s="435" t="s">
        <v>3449</v>
      </c>
      <c r="D1454" s="435"/>
      <c r="E1454" s="435"/>
      <c r="F1454" s="435"/>
      <c r="G1454" s="435"/>
      <c r="H1454" s="435"/>
      <c r="I1454" s="435"/>
      <c r="J1454" s="435"/>
      <c r="K1454" s="1818"/>
      <c r="L1454" s="435"/>
      <c r="M1454" s="435"/>
      <c r="O1454" s="2255" t="s">
        <v>1895</v>
      </c>
      <c r="P1454" s="2230" t="str">
        <f>'Part VIII-Threshold Criteria'!P214</f>
        <v>No</v>
      </c>
      <c r="Q1454" s="2164"/>
    </row>
    <row r="1455" spans="1:44" s="1852" customFormat="1" ht="12.75" customHeight="1">
      <c r="A1455" s="2255" t="s">
        <v>719</v>
      </c>
      <c r="B1455" s="435" t="s">
        <v>3450</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 xml:space="preserve">The City of East Point currently has water and sewer service available and will continue to have adequate water and sewer service/capacity available for ourm proposed project.  Please see the executed verification letter from Anthony Brown, City Engineer, Water and Sewer Department of East Point in Tab 12 of the application for further verification.  </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7118</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3945</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3946</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7119</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7043</v>
      </c>
      <c r="D1468" s="435"/>
      <c r="E1468" s="435"/>
      <c r="F1468" s="435"/>
      <c r="G1468" s="435"/>
      <c r="H1468" s="435"/>
      <c r="I1468" s="435"/>
      <c r="J1468" s="435"/>
      <c r="K1468" s="1818"/>
      <c r="L1468" s="1818"/>
      <c r="M1468" s="1818"/>
      <c r="N1468" s="2255" t="s">
        <v>3273</v>
      </c>
      <c r="O1468" s="2273">
        <f>'Part VI-Revenues &amp; Expenses'!$P$67</f>
        <v>89</v>
      </c>
      <c r="P1468" s="2112" t="s">
        <v>4036</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4037</v>
      </c>
      <c r="D1469" s="435"/>
      <c r="E1469" s="435"/>
      <c r="F1469" s="435"/>
      <c r="H1469" s="2255" t="s">
        <v>4038</v>
      </c>
      <c r="I1469" s="435" t="s">
        <v>7120</v>
      </c>
      <c r="M1469" s="1818"/>
      <c r="N1469" s="1818"/>
      <c r="O1469" s="2044"/>
      <c r="P1469" s="2129" t="s">
        <v>743</v>
      </c>
      <c r="Q1469" s="2129" t="s">
        <v>4035</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 xml:space="preserve">Equipped Computer Center and WiFi </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Furnished Exercise /Fitness Center</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f>'Part VIII-Threshold Criteria'!C232</f>
        <v>0</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4046</v>
      </c>
      <c r="C1473" s="2226">
        <f>'Part VIII-Threshold Criteria'!C233</f>
        <v>0</v>
      </c>
      <c r="D1473" s="2226"/>
      <c r="E1473" s="2226"/>
      <c r="F1473" s="2226"/>
      <c r="G1473" s="2226"/>
      <c r="H1473" s="2255" t="s">
        <v>4046</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6335</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6450</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6311</v>
      </c>
      <c r="C1481" s="435"/>
      <c r="E1481" s="435"/>
      <c r="F1481" s="435"/>
      <c r="G1481" s="435"/>
      <c r="H1481" s="435"/>
      <c r="I1481" s="435"/>
      <c r="J1481" s="435"/>
      <c r="K1481" s="1818"/>
      <c r="M1481" s="2121" t="str">
        <f>'Part I-Project Information'!$H$77</f>
        <v>Family</v>
      </c>
      <c r="O1481" s="2255" t="s">
        <v>2021</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3960</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 proposed amenities appropriately meet the needs of the family tenancy in our proposed project.</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6336</v>
      </c>
      <c r="C1488" s="2121"/>
      <c r="D1488" s="2228"/>
      <c r="E1488" s="2228"/>
      <c r="F1488" s="2228"/>
      <c r="G1488" s="2228"/>
      <c r="H1488" s="2228"/>
      <c r="I1488" s="2228"/>
      <c r="J1488" s="2228"/>
      <c r="K1488" s="2164" t="s">
        <v>431</v>
      </c>
      <c r="L1488" s="2164" t="str">
        <f>'Part I-Project Information'!$N$40</f>
        <v>Yes</v>
      </c>
      <c r="M1488" s="2228"/>
      <c r="O1488" s="2224" t="s">
        <v>1781</v>
      </c>
      <c r="P1488" s="1719"/>
      <c r="Q1488" s="1719"/>
    </row>
    <row r="1489" spans="1:44" s="1852" customFormat="1" ht="11.25" customHeight="1">
      <c r="A1489" s="2224" t="s">
        <v>1893</v>
      </c>
      <c r="B1489" s="2223" t="s">
        <v>6339</v>
      </c>
    </row>
    <row r="1490" spans="1:44" s="1852" customFormat="1" ht="10.5" customHeight="1">
      <c r="A1490" s="2224"/>
      <c r="B1490" s="435" t="s">
        <v>6341</v>
      </c>
      <c r="C1490" s="1818"/>
      <c r="D1490" s="1818"/>
      <c r="E1490" s="1818"/>
      <c r="F1490" s="1818"/>
      <c r="G1490" s="1818"/>
      <c r="H1490" s="1818"/>
      <c r="I1490" s="1818"/>
      <c r="J1490" s="2044" t="s">
        <v>6340</v>
      </c>
      <c r="K1490" s="435" t="s">
        <v>6341</v>
      </c>
      <c r="L1490" s="1818"/>
      <c r="M1490" s="1818"/>
      <c r="N1490" s="1818"/>
      <c r="O1490" s="1818"/>
      <c r="P1490" s="1818"/>
      <c r="Q1490" s="2044" t="s">
        <v>6340</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6342</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6338</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6337</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N/A</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4151</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6451</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t="str">
        <f>'Part VIII-Threshold Criteria'!K269</f>
        <v>Historic Preservation</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6452</v>
      </c>
      <c r="C1510" s="2223"/>
      <c r="D1510" s="2223"/>
      <c r="E1510" s="2223"/>
      <c r="F1510" s="2223"/>
      <c r="G1510" s="2223"/>
      <c r="H1510" s="2223"/>
      <c r="I1510" s="2223"/>
      <c r="J1510" s="2223"/>
      <c r="K1510" s="2223"/>
      <c r="L1510" s="2223"/>
      <c r="M1510" s="2223"/>
      <c r="N1510" s="2223"/>
      <c r="O1510" s="2223"/>
      <c r="P1510" s="2230" t="str">
        <f>'Part VIII-Threshold Criteria'!P270</f>
        <v>Yes</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44222</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t="str">
        <f>'Part VIII-Threshold Criteria'!K272</f>
        <v>Gill Group</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6453</v>
      </c>
      <c r="D1513" s="435"/>
      <c r="E1513" s="435"/>
      <c r="F1513" s="435"/>
      <c r="G1513" s="435"/>
      <c r="H1513" s="435"/>
      <c r="I1513" s="1818"/>
      <c r="J1513" s="1818"/>
      <c r="M1513" s="435"/>
      <c r="N1513" s="2281"/>
      <c r="O1513" s="2255" t="s">
        <v>1659</v>
      </c>
      <c r="P1513" s="2230" t="str">
        <f>'Part VIII-Threshold Criteria'!P273</f>
        <v>Yes</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6463</v>
      </c>
      <c r="D1514" s="2223"/>
      <c r="E1514" s="2223"/>
      <c r="F1514" s="2223"/>
      <c r="G1514" s="2223"/>
      <c r="H1514" s="2223"/>
      <c r="I1514" s="2223"/>
      <c r="J1514" s="2223"/>
      <c r="K1514" s="2223"/>
      <c r="L1514" s="2223"/>
      <c r="M1514" s="2223"/>
      <c r="N1514" s="2223"/>
      <c r="O1514" s="2224" t="s">
        <v>1660</v>
      </c>
      <c r="P1514" s="2230" t="str">
        <f>'Part VIII-Threshold Criteria'!P274</f>
        <v>Yes</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6464</v>
      </c>
      <c r="D1515" s="2223"/>
      <c r="E1515" s="2223"/>
      <c r="F1515" s="2223"/>
      <c r="G1515" s="2223"/>
      <c r="H1515" s="2223"/>
      <c r="I1515" s="2223"/>
      <c r="J1515" s="2223"/>
      <c r="K1515" s="2223"/>
      <c r="L1515" s="2223"/>
      <c r="M1515" s="2223"/>
      <c r="N1515" s="2223"/>
      <c r="O1515" s="2224" t="s">
        <v>2260</v>
      </c>
      <c r="P1515" s="2230" t="str">
        <f>'Part VIII-Threshold Criteria'!P275</f>
        <v>Yes</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3451</v>
      </c>
      <c r="D1516" s="435"/>
      <c r="E1516" s="435"/>
      <c r="F1516" s="435"/>
      <c r="G1516" s="435"/>
      <c r="H1516" s="435"/>
      <c r="I1516" s="1818"/>
      <c r="J1516" s="1818"/>
      <c r="K1516" s="1818"/>
      <c r="M1516" s="435"/>
      <c r="N1516" s="2281"/>
      <c r="P1516" s="2230" t="str">
        <f>'Part VIII-Threshold Criteria'!P276</f>
        <v>Yes</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3532</v>
      </c>
      <c r="K1517" s="1818"/>
      <c r="M1517" s="435"/>
      <c r="N1517" s="2281"/>
      <c r="O1517" s="2255" t="s">
        <v>1658</v>
      </c>
      <c r="P1517" s="2230" t="str">
        <f>'Part VIII-Threshold Criteria'!P277</f>
        <v>Yes</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3533</v>
      </c>
      <c r="K1518" s="1818"/>
      <c r="M1518" s="435"/>
      <c r="N1518" s="2281"/>
      <c r="O1518" s="2255" t="s">
        <v>1659</v>
      </c>
      <c r="P1518" s="2230" t="str">
        <f>'Part VIII-Threshold Criteria'!P278</f>
        <v>Yes</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3534</v>
      </c>
      <c r="K1519" s="1818"/>
      <c r="M1519" s="435"/>
      <c r="N1519" s="2281"/>
      <c r="O1519" s="2255" t="s">
        <v>1660</v>
      </c>
      <c r="P1519" s="2230" t="str">
        <f>'Part VIII-Threshold Criteria'!P279</f>
        <v>Yes</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3535</v>
      </c>
      <c r="K1520" s="1818"/>
      <c r="M1520" s="435"/>
      <c r="N1520" s="2281"/>
      <c r="O1520" s="2255" t="s">
        <v>2260</v>
      </c>
      <c r="P1520" s="2230" t="str">
        <f>'Part VIII-Threshold Criteria'!P280</f>
        <v>Yes</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6822</v>
      </c>
      <c r="C1521" s="2223" t="s">
        <v>7121</v>
      </c>
      <c r="D1521" s="2223"/>
      <c r="E1521" s="2223"/>
      <c r="F1521" s="2223"/>
      <c r="G1521" s="2223"/>
      <c r="H1521" s="2223"/>
      <c r="I1521" s="2223"/>
      <c r="J1521" s="2223"/>
      <c r="K1521" s="2223"/>
      <c r="L1521" s="2223"/>
      <c r="M1521" s="2223"/>
      <c r="N1521" s="2223"/>
      <c r="O1521" s="2224" t="s">
        <v>1487</v>
      </c>
      <c r="P1521" s="2230" t="str">
        <f>'Part VIII-Threshold Criteria'!P281</f>
        <v>Agree</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The applicant is proposing the historic preservation and conversion of an 1800’s building into an 89 unit apartment community including common areas and amenities detailed in the core application and Rehab Scope of Work in tab 15.  All of the immediate needs and remediation issues in the Physical Needs Assessment, Capital Replacement Reserve Fannie Mae Form and Environmental Site Assessments have been included in the Rehab Scope of work and meet the requirements of XV. Rehabilitation Standards: Sections A, B and C as outlined above.</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3520</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4233</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3375</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4260</v>
      </c>
      <c r="D1531" s="2223"/>
      <c r="E1531" s="2223"/>
      <c r="F1531" s="2223"/>
      <c r="G1531" s="2223"/>
      <c r="H1531" s="2223"/>
      <c r="I1531" s="2223"/>
      <c r="J1531" s="2223"/>
      <c r="K1531" s="2223"/>
      <c r="L1531" s="2223"/>
      <c r="M1531" s="2223"/>
      <c r="N1531" s="2223"/>
      <c r="O1531" s="2224" t="s">
        <v>4261</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6343</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 xml:space="preserve">The conceptual site development plan produced by Studio 8 Design outlines all required information in accordance with the applicable 2021 GA DCA QAP guideliens.  Please also see the additional maps, site pictures, and aerial photos, which are also contained in Tab 16 of the application. </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3521</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6451</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6455</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4027</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&lt;&lt; Select a Sustainable Development Certification &gt;&gt;</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6454</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6456</v>
      </c>
      <c r="D1546" s="1818"/>
      <c r="E1546" s="1818"/>
      <c r="N1546" s="2283" t="s">
        <v>6457</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 xml:space="preserve">The applicant agrees to XVII. Building Sustainability: Sections A, B as outlined above.  The applicant has completed the required 30 minute Building Sustainability training. The points selected on the Earth Craft Multi-Family Renovation Worksheet will achieve Certified Certification and have been included in the Rehab Scope of Work in Tab 15 of the application.  The Renovation Worksheet is included in Tab 17 of the application.  
 </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3519</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6451</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7044</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3452</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4259</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6458</v>
      </c>
      <c r="D1557" s="2223"/>
      <c r="E1557" s="2223"/>
      <c r="F1557" s="2223"/>
      <c r="G1557" s="2223"/>
      <c r="H1557" s="2223"/>
      <c r="I1557" s="2223"/>
      <c r="J1557" s="2223"/>
      <c r="K1557" s="2223"/>
      <c r="L1557" s="2223"/>
      <c r="M1557" s="2223"/>
      <c r="N1557" s="2223"/>
      <c r="O1557" s="2224" t="s">
        <v>1660</v>
      </c>
      <c r="P1557" s="2264" t="str">
        <f>'Part VIII-Threshold Criteria'!P317</f>
        <v>No</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3432</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7045</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3537</v>
      </c>
      <c r="K1561" s="2288">
        <f>'Part VIII-Threshold Criteria'!K321</f>
        <v>5</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7046</v>
      </c>
      <c r="E1562" s="2223"/>
      <c r="F1562" s="2223"/>
      <c r="G1562" s="2223"/>
      <c r="H1562" s="2223"/>
      <c r="I1562" s="2290" t="s">
        <v>3538</v>
      </c>
      <c r="J1562" s="1856"/>
      <c r="K1562" s="2288">
        <f>'Part VIII-Threshold Criteria'!K322</f>
        <v>2</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7047</v>
      </c>
      <c r="D1564" s="2223"/>
      <c r="E1564" s="2223"/>
      <c r="F1564" s="2223"/>
      <c r="G1564" s="2223"/>
      <c r="H1564" s="2223"/>
      <c r="I1564" s="435" t="s">
        <v>3539</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3433</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4008</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 xml:space="preserve">The applicant agrees to comply with all accessibility standards and will engage a third party (non-related) DCA qualified consultant, Zeffert &amp; Associates, to monitor accessibility requirements and compliance through all applicable phases of our proposed project. </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3522</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3947</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7048</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Rehab of bldgs eligible for historic preservatn credits will maintain &amp; if necessary replace with matching materials, the existing or original exterior finish surfaces including front wall face, rear wall face and both side wall faces.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6344</v>
      </c>
      <c r="D1588" s="2223"/>
      <c r="E1588" s="2223"/>
      <c r="F1588" s="2223"/>
      <c r="G1588" s="1864" t="s">
        <v>6345</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6611</v>
      </c>
      <c r="P1589" s="2264" t="str">
        <f>'Part VIII-Threshold Criteria'!P349</f>
        <v>No</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6612</v>
      </c>
      <c r="P1590" s="2264" t="str">
        <f>'Part VIII-Threshold Criteria'!P350</f>
        <v>No</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7049</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applicant agrees to all DCA requirements for Architectural Design and Quality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3523</v>
      </c>
      <c r="B1597" s="2115" t="s">
        <v>3541</v>
      </c>
      <c r="C1597" s="2105"/>
      <c r="D1597" s="2228"/>
      <c r="E1597" s="2228"/>
      <c r="F1597" s="2228"/>
      <c r="G1597" s="2228"/>
      <c r="H1597" s="2228"/>
      <c r="O1597" s="2224" t="s">
        <v>1781</v>
      </c>
      <c r="P1597" s="1719"/>
      <c r="Q1597" s="1719"/>
    </row>
    <row r="1598" spans="1:256 1523:1523" s="1852" customFormat="1" ht="11.45" customHeight="1">
      <c r="A1598" s="2255" t="s">
        <v>1893</v>
      </c>
      <c r="B1598" s="2112" t="s">
        <v>6376</v>
      </c>
      <c r="O1598" s="2224" t="s">
        <v>1893</v>
      </c>
      <c r="P1598" s="2230" t="str">
        <f>'Part VIII-Threshold Criteria'!P358</f>
        <v>Yes</v>
      </c>
      <c r="Q1598" s="2164"/>
    </row>
    <row r="1599" spans="1:256 1523:1523" s="1852" customFormat="1" ht="11.45" customHeight="1">
      <c r="A1599" s="2224" t="s">
        <v>1895</v>
      </c>
      <c r="B1599" s="2112" t="s">
        <v>3513</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3415</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Principal</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 xml:space="preserve">Martin H. Petersen is determined "Qualified" as the Certifying Principal.  The DCA Determination letter is included within the application in Tab 20.  </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3526</v>
      </c>
      <c r="B1609" s="1818" t="s">
        <v>6347</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7050</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89</v>
      </c>
      <c r="F1611" s="435" t="s">
        <v>4078</v>
      </c>
      <c r="G1611" s="2295">
        <f>'Part VI-Revenues &amp; Expenses'!$P$100</f>
        <v>0</v>
      </c>
      <c r="H1611" s="1818"/>
      <c r="I1611" s="435" t="s">
        <v>856</v>
      </c>
      <c r="J1611" s="1818"/>
      <c r="K1611" s="1818"/>
      <c r="L1611" s="2273">
        <f>'Part VI-Revenues &amp; Expenses'!$P$111</f>
        <v>0</v>
      </c>
      <c r="M1611" s="435" t="s">
        <v>2629</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6348</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6349</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Not Applicable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3527</v>
      </c>
      <c r="B1619" s="1818" t="s">
        <v>3505</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1781</v>
      </c>
      <c r="P1619" s="1719"/>
      <c r="Q1619" s="1719"/>
    </row>
    <row r="1620" spans="1:31" s="1852" customFormat="1" ht="10.5" customHeight="1">
      <c r="A1620" s="2255" t="s">
        <v>1893</v>
      </c>
      <c r="B1620" s="435" t="s">
        <v>3506</v>
      </c>
      <c r="D1620" s="1818"/>
      <c r="E1620" s="1818"/>
      <c r="F1620" s="1818"/>
      <c r="G1620" s="1818"/>
      <c r="H1620" s="2255" t="s">
        <v>1893</v>
      </c>
      <c r="I1620" s="2111">
        <f>'Part VIII-Threshold Criteria'!I380</f>
        <v>0</v>
      </c>
      <c r="J1620" s="2111"/>
      <c r="K1620" s="2111"/>
      <c r="L1620" s="2111"/>
      <c r="M1620" s="2111"/>
      <c r="N1620" s="2111"/>
      <c r="O1620" s="2111"/>
      <c r="P1620" s="2111"/>
      <c r="Q1620" s="2164"/>
    </row>
    <row r="1621" spans="1:31" s="1852" customFormat="1" ht="10.5" customHeight="1">
      <c r="A1621" s="2224" t="s">
        <v>1895</v>
      </c>
      <c r="B1621" s="435" t="s">
        <v>3507</v>
      </c>
      <c r="D1621" s="1818"/>
      <c r="E1621" s="1818"/>
      <c r="F1621" s="1818"/>
      <c r="G1621" s="1818"/>
      <c r="H1621" s="2224" t="s">
        <v>1895</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3498</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2021</v>
      </c>
      <c r="B1623" s="2223" t="s">
        <v>3499</v>
      </c>
      <c r="C1623" s="2223"/>
      <c r="D1623" s="2223"/>
      <c r="E1623" s="2223"/>
      <c r="F1623" s="2223"/>
      <c r="G1623" s="2223"/>
      <c r="H1623" s="2223"/>
      <c r="I1623" s="2223"/>
      <c r="J1623" s="2223"/>
      <c r="K1623" s="2223"/>
      <c r="L1623" s="2223"/>
      <c r="M1623" s="2223"/>
      <c r="N1623" s="2223"/>
      <c r="O1623" s="2224" t="s">
        <v>2021</v>
      </c>
      <c r="P1623" s="2264">
        <f>'Part VIII-Threshold Criteria'!P383</f>
        <v>0</v>
      </c>
      <c r="Q1623" s="2252"/>
    </row>
    <row r="1624" spans="1:31" s="1852" customFormat="1" ht="10.5" customHeight="1">
      <c r="A1624" s="2224" t="s">
        <v>1656</v>
      </c>
      <c r="B1624" s="435" t="s">
        <v>3500</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3501</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1858</v>
      </c>
      <c r="B1626" s="2223" t="s">
        <v>3502</v>
      </c>
      <c r="D1626" s="2223"/>
      <c r="E1626" s="2223"/>
      <c r="F1626" s="2223"/>
      <c r="G1626" s="2223"/>
      <c r="H1626" s="2223"/>
      <c r="I1626" s="2223"/>
      <c r="J1626" s="2223"/>
      <c r="K1626" s="2223"/>
      <c r="L1626" s="2223"/>
      <c r="M1626" s="2223"/>
      <c r="N1626" s="2223"/>
      <c r="O1626" s="2224" t="s">
        <v>1858</v>
      </c>
      <c r="P1626" s="2264">
        <f>'Part VIII-Threshold Criteria'!P386</f>
        <v>0</v>
      </c>
      <c r="Q1626" s="2252"/>
    </row>
    <row r="1627" spans="1:31" s="2158" customFormat="1" ht="10.5" customHeight="1">
      <c r="C1627" s="2228" t="s">
        <v>7122</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3124</v>
      </c>
      <c r="B1628" s="2223" t="s">
        <v>3503</v>
      </c>
      <c r="C1628" s="2223"/>
      <c r="D1628" s="2223"/>
      <c r="E1628" s="2223"/>
      <c r="F1628" s="2223"/>
      <c r="G1628" s="2223"/>
      <c r="H1628" s="2223"/>
      <c r="I1628" s="2223"/>
      <c r="J1628" s="2223"/>
      <c r="K1628" s="2223"/>
      <c r="L1628" s="2223"/>
      <c r="M1628" s="2223"/>
      <c r="N1628" s="2223"/>
      <c r="O1628" s="2224" t="s">
        <v>3124</v>
      </c>
      <c r="P1628" s="2264">
        <f>'Part VIII-Threshold Criteria'!P388</f>
        <v>0</v>
      </c>
      <c r="Q1628" s="2252"/>
    </row>
    <row r="1629" spans="1:31" s="1852" customFormat="1" ht="33" customHeight="1">
      <c r="A1629" s="2224" t="s">
        <v>586</v>
      </c>
      <c r="B1629" s="2223" t="s">
        <v>3504</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Not Applicable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3528</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3529</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f>'Part VIII-Threshold Criteria'!P406</f>
        <v>0</v>
      </c>
      <c r="Q1646" s="2164"/>
    </row>
    <row r="1647" spans="1:31" s="1852" customFormat="1" ht="12" customHeight="1">
      <c r="A1647" s="2255" t="s">
        <v>1895</v>
      </c>
      <c r="B1647" s="435" t="s">
        <v>3264</v>
      </c>
      <c r="D1647" s="2223"/>
      <c r="E1647" s="2223"/>
      <c r="O1647" s="2255" t="s">
        <v>1895</v>
      </c>
      <c r="P1647" s="2230">
        <f>'Part VIII-Threshold Criteria'!P407</f>
        <v>0</v>
      </c>
      <c r="Q1647" s="2164"/>
    </row>
    <row r="1648" spans="1:31" s="1852" customFormat="1" ht="12" customHeight="1">
      <c r="A1648" s="2255" t="s">
        <v>719</v>
      </c>
      <c r="B1648" s="435" t="s">
        <v>4234</v>
      </c>
      <c r="D1648" s="2223"/>
      <c r="E1648" s="2223"/>
      <c r="O1648" s="2255" t="s">
        <v>719</v>
      </c>
      <c r="P1648" s="2230">
        <f>'Part VIII-Threshold Criteria'!P408</f>
        <v>0</v>
      </c>
      <c r="Q1648" s="2164"/>
    </row>
    <row r="1649" spans="1:31" s="1852" customFormat="1" ht="12" customHeight="1">
      <c r="A1649" s="2255" t="s">
        <v>2021</v>
      </c>
      <c r="B1649" s="435" t="s">
        <v>3265</v>
      </c>
      <c r="E1649" s="2223"/>
      <c r="O1649" s="2255" t="s">
        <v>2021</v>
      </c>
      <c r="P1649" s="2230">
        <f>'Part VIII-Threshold Criteria'!P409</f>
        <v>0</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Not Applicable</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3530</v>
      </c>
      <c r="B1656" s="1818" t="s">
        <v>4136</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6546</v>
      </c>
      <c r="O1657" s="2255"/>
      <c r="P1657" s="2230" t="str">
        <f>'Part VIII-Threshold Criteria'!P417</f>
        <v>No</v>
      </c>
      <c r="Q1657" s="2164"/>
    </row>
    <row r="1658" spans="1:31" s="1852" customFormat="1" ht="12" customHeight="1">
      <c r="A1658" s="2255" t="s">
        <v>1893</v>
      </c>
      <c r="B1658" s="435" t="s">
        <v>4135</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4235</v>
      </c>
      <c r="D1660" s="2112" t="s">
        <v>4236</v>
      </c>
      <c r="E1660" s="1818"/>
      <c r="F1660" s="1818"/>
      <c r="G1660" s="1818"/>
      <c r="H1660" s="1818"/>
      <c r="I1660" s="1818"/>
      <c r="J1660" s="1818"/>
      <c r="K1660" s="1818"/>
      <c r="L1660" s="1818"/>
      <c r="M1660" s="1818"/>
      <c r="N1660" s="1818"/>
      <c r="O1660" s="2255" t="s">
        <v>4235</v>
      </c>
      <c r="P1660" s="2226" t="str">
        <f>'Part VIII-Threshold Criteria'!P420</f>
        <v>No</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t="str">
        <f>'Part VIII-Threshold Criteria'!P422</f>
        <v>No</v>
      </c>
      <c r="Q1662" s="2164"/>
    </row>
    <row r="1663" spans="1:31" s="1852" customFormat="1" ht="12" customHeight="1">
      <c r="A1663" s="2255"/>
      <c r="C1663" s="435" t="s">
        <v>4139</v>
      </c>
      <c r="D1663" s="435" t="s">
        <v>3261</v>
      </c>
      <c r="E1663" s="435"/>
      <c r="F1663" s="435"/>
      <c r="G1663" s="435"/>
      <c r="H1663" s="435"/>
      <c r="I1663" s="435"/>
      <c r="J1663" s="435"/>
      <c r="K1663" s="435"/>
      <c r="L1663" s="435"/>
      <c r="M1663" s="435"/>
      <c r="N1663" s="1818"/>
      <c r="O1663" s="2255" t="s">
        <v>2326</v>
      </c>
      <c r="P1663" s="2230" t="str">
        <f>'Part VIII-Threshold Criteria'!P423</f>
        <v>No</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t="str">
        <f>'Part VIII-Threshold Criteria'!P424</f>
        <v>No</v>
      </c>
      <c r="Q1664" s="2164"/>
    </row>
    <row r="1665" spans="1:44" s="1852" customFormat="1" ht="12" customHeight="1">
      <c r="A1665" s="2255"/>
      <c r="B1665" s="2298" t="s">
        <v>2416</v>
      </c>
      <c r="C1665" s="2223" t="s">
        <v>6400</v>
      </c>
      <c r="D1665" s="2223"/>
      <c r="E1665" s="2223"/>
      <c r="F1665" s="2223"/>
      <c r="G1665" s="435" t="s">
        <v>4140</v>
      </c>
      <c r="J1665" s="2137" t="str">
        <f>'Part VIII-Threshold Criteria'!J425</f>
        <v>N/A</v>
      </c>
      <c r="K1665" s="2117"/>
      <c r="M1665" s="435" t="s">
        <v>6492</v>
      </c>
      <c r="P1665" s="2137" t="str">
        <f>'Part VIII-Threshold Criteria'!P425</f>
        <v>N/A</v>
      </c>
      <c r="Q1665" s="2117"/>
    </row>
    <row r="1666" spans="1:44" s="1852" customFormat="1" ht="12" customHeight="1">
      <c r="A1666" s="2255"/>
      <c r="C1666" s="2223"/>
      <c r="D1666" s="2223"/>
      <c r="E1666" s="2223"/>
      <c r="F1666" s="2223"/>
      <c r="G1666" s="435" t="s">
        <v>6491</v>
      </c>
      <c r="J1666" s="2137" t="str">
        <f>'Part VIII-Threshold Criteria'!J426</f>
        <v>N/A</v>
      </c>
      <c r="K1666" s="2117"/>
      <c r="M1666" s="435" t="s">
        <v>6493</v>
      </c>
      <c r="P1666" s="2137" t="str">
        <f>'Part VIII-Threshold Criteria'!P426</f>
        <v>N/A</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6434</v>
      </c>
      <c r="J1668" s="2112" t="s">
        <v>6435</v>
      </c>
      <c r="K1668" s="2112" t="s">
        <v>6437</v>
      </c>
      <c r="L1668" s="2112"/>
      <c r="M1668" s="2112"/>
      <c r="N1668" s="2112" t="s">
        <v>6436</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6599</v>
      </c>
      <c r="D1670" s="2223"/>
      <c r="E1670" s="2223"/>
      <c r="F1670" s="2223"/>
      <c r="G1670" s="2223"/>
      <c r="H1670" s="2223"/>
      <c r="I1670" s="2010">
        <f>$K$323</f>
        <v>0</v>
      </c>
      <c r="J1670" s="2288" t="str">
        <f>'Part VIII-Threshold Criteria'!J430</f>
        <v>N/A</v>
      </c>
      <c r="K1670" s="2299" t="str">
        <f>'Part VIII-Threshold Criteria'!K430</f>
        <v>N/A</v>
      </c>
      <c r="L1670" s="2299"/>
      <c r="M1670" s="2299"/>
      <c r="N1670" s="2199">
        <f>MAX(J1670,K1670)</f>
        <v>0</v>
      </c>
      <c r="O1670" s="2255" t="s">
        <v>2328</v>
      </c>
      <c r="P1670" s="2230" t="str">
        <f>'Part VIII-Threshold Criteria'!P430</f>
        <v>Yes</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6438</v>
      </c>
      <c r="E1673" s="2223"/>
      <c r="F1673" s="2223"/>
      <c r="G1673" s="2223"/>
      <c r="H1673" s="2223"/>
      <c r="I1673" s="2010" t="str">
        <f>$K$324</f>
        <v>(Enter 10-Digit phone nbrs w/out using hyphens, parentheses, etc - ex: 1234567890)</v>
      </c>
      <c r="J1673" s="2288" t="str">
        <f>'Part VIII-Threshold Criteria'!J433</f>
        <v>N/A</v>
      </c>
      <c r="K1673" s="2299" t="str">
        <f>'Part VIII-Threshold Criteria'!K433</f>
        <v>N/A</v>
      </c>
      <c r="L1673" s="2299"/>
      <c r="M1673" s="2299"/>
      <c r="N1673" s="2199">
        <f>MAX(J1673,K1673)</f>
        <v>0</v>
      </c>
      <c r="O1673" s="2255"/>
      <c r="P1673" s="2230" t="str">
        <f>'Part VIII-Threshold Criteria'!P433</f>
        <v>Yes</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6600</v>
      </c>
      <c r="D1676" s="2223"/>
      <c r="E1676" s="2223"/>
      <c r="F1676" s="2223"/>
      <c r="G1676" s="2223"/>
      <c r="H1676" s="2223"/>
      <c r="I1676" s="2010">
        <f>$K$326</f>
        <v>0</v>
      </c>
      <c r="J1676" s="2288" t="str">
        <f>'Part VIII-Threshold Criteria'!J436</f>
        <v>N/A</v>
      </c>
      <c r="K1676" s="2299" t="str">
        <f>'Part VIII-Threshold Criteria'!K436</f>
        <v>N/A</v>
      </c>
      <c r="L1676" s="2299"/>
      <c r="M1676" s="2299"/>
      <c r="N1676" s="2199">
        <f>MAX(J1676,K1676)</f>
        <v>0</v>
      </c>
      <c r="O1676" s="2255" t="s">
        <v>2344</v>
      </c>
      <c r="P1676" s="2230" t="str">
        <f>'Part VIII-Threshold Criteria'!P436</f>
        <v>Yes</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4010</v>
      </c>
      <c r="E1679" s="2121"/>
      <c r="F1679" s="2121"/>
      <c r="G1679" s="2121"/>
      <c r="J1679" s="1818"/>
      <c r="K1679" s="2121"/>
      <c r="L1679" s="2121"/>
      <c r="M1679" s="1818"/>
      <c r="N1679" s="2255"/>
      <c r="P1679" s="2255"/>
      <c r="Q1679" s="2255"/>
    </row>
    <row r="1680" spans="1:44" s="1852" customFormat="1" ht="12" customHeight="1">
      <c r="A1680" s="2255"/>
      <c r="B1680" s="2112"/>
      <c r="C1680" s="2121" t="s">
        <v>6495</v>
      </c>
      <c r="E1680" s="2121"/>
      <c r="F1680" s="2121"/>
      <c r="L1680" s="2121"/>
      <c r="M1680" s="2121"/>
      <c r="O1680" s="2255" t="s">
        <v>2324</v>
      </c>
      <c r="P1680" s="2230" t="str">
        <f>'Part VIII-Threshold Criteria'!P440</f>
        <v>&lt;&lt;Select&gt;&gt;</v>
      </c>
      <c r="Q1680" s="2164"/>
    </row>
    <row r="1681" spans="1:31" s="1852" customFormat="1" ht="12" customHeight="1">
      <c r="A1681" s="1818"/>
      <c r="D1681" s="2112" t="s">
        <v>6496</v>
      </c>
      <c r="E1681" s="2270" t="s">
        <v>2347</v>
      </c>
      <c r="F1681" s="2112" t="s">
        <v>3425</v>
      </c>
      <c r="G1681" s="2111" t="str">
        <f>'Part VIII-Threshold Criteria'!G441</f>
        <v>Custom Relocation Specialists</v>
      </c>
      <c r="H1681" s="2111"/>
      <c r="I1681" s="2111"/>
      <c r="J1681" s="2111"/>
      <c r="K1681" s="2111"/>
      <c r="L1681" s="2270"/>
    </row>
    <row r="1682" spans="1:31" s="1852" customFormat="1" ht="12" customHeight="1">
      <c r="D1682" s="2112"/>
      <c r="E1682" s="2270" t="s">
        <v>4137</v>
      </c>
      <c r="F1682" s="2112" t="s">
        <v>4138</v>
      </c>
      <c r="G1682" s="2111" t="str">
        <f>'Part VIII-Threshold Criteria'!G442</f>
        <v>Relocation specialist</v>
      </c>
      <c r="H1682" s="2111"/>
      <c r="I1682" s="2111"/>
      <c r="J1682" s="2112" t="s">
        <v>3965</v>
      </c>
      <c r="M1682" s="2111">
        <f>'Part VIII-Threshold Criteria'!M442</f>
        <v>0</v>
      </c>
      <c r="N1682" s="2111"/>
      <c r="O1682" s="2111"/>
      <c r="P1682" s="2111"/>
      <c r="Q1682" s="2111"/>
    </row>
    <row r="1683" spans="1:31" s="1852" customFormat="1" ht="12" customHeight="1">
      <c r="A1683" s="1818"/>
      <c r="C1683" s="2112" t="s">
        <v>6494</v>
      </c>
      <c r="E1683" s="2121"/>
      <c r="F1683" s="2121"/>
      <c r="G1683" s="2121"/>
      <c r="H1683" s="2121"/>
      <c r="I1683" s="2121"/>
      <c r="J1683" s="2121"/>
      <c r="K1683" s="2121"/>
      <c r="L1683" s="2121"/>
      <c r="M1683" s="2121"/>
      <c r="N1683" s="2121"/>
      <c r="O1683" s="2121"/>
      <c r="P1683" s="2121"/>
      <c r="Q1683" s="2121"/>
    </row>
    <row r="1684" spans="1:31" s="1852" customFormat="1" ht="44.45" customHeight="1">
      <c r="B1684" s="1951" t="str">
        <f>'Part VIII-Threshold Criteria'!B444</f>
        <v xml:space="preserve">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
</v>
      </c>
      <c r="C1684" s="1951"/>
      <c r="D1684" s="1951"/>
      <c r="E1684" s="1951"/>
      <c r="F1684" s="1951"/>
      <c r="G1684" s="1951"/>
      <c r="H1684" s="1951"/>
      <c r="I1684" s="1951"/>
      <c r="J1684" s="1951"/>
      <c r="K1684" s="1951"/>
      <c r="L1684" s="1951"/>
      <c r="M1684" s="1951"/>
      <c r="N1684" s="1951"/>
      <c r="O1684" s="1951"/>
      <c r="P1684" s="1951"/>
      <c r="Q1684" s="1951"/>
      <c r="R1684" s="1855" t="s">
        <v>3961</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4237</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4141</v>
      </c>
      <c r="C1687" s="2228"/>
      <c r="D1687" s="2228"/>
      <c r="E1687" s="2228"/>
      <c r="F1687" s="2228"/>
      <c r="G1687" s="2228"/>
      <c r="H1687" s="2228"/>
      <c r="I1687" s="2228"/>
      <c r="J1687" s="2228"/>
      <c r="K1687" s="2228"/>
      <c r="L1687" s="2228"/>
      <c r="M1687" s="2228"/>
      <c r="N1687" s="2228"/>
    </row>
    <row r="1688" spans="1:31" s="1852" customFormat="1" ht="48" customHeight="1">
      <c r="B1688" s="2223" t="s">
        <v>7123</v>
      </c>
      <c r="C1688" s="2223"/>
      <c r="D1688" s="2223"/>
      <c r="E1688" s="2223"/>
      <c r="F1688" s="2223"/>
      <c r="G1688" s="2223"/>
      <c r="H1688" s="2223"/>
      <c r="I1688" s="2223"/>
      <c r="J1688" s="2223"/>
      <c r="K1688" s="2223"/>
      <c r="L1688" s="2223"/>
      <c r="M1688" s="2223"/>
      <c r="N1688" s="2223"/>
      <c r="O1688" s="2224" t="s">
        <v>1895</v>
      </c>
      <c r="P1688" s="2264" t="str">
        <f>'Part VIII-Threshold Criteria'!P448</f>
        <v>Agree</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As of April, 2021, there were 18 occupied retail/professional spaces in the proposed project.  One space is occupied by the City of East Point as a policy substation at no cost.  Another tenant, Splash 205 Studios, occupies 5 spaces.  The majority of existing tenants (except for 3) are currently on a month to month lease agreement.  The 3 remaining tenants have leases that will expire prior to notification of a written tax credit award.  Any tenant(s) occupying space(s) at the time of the written notification of the award will be given a minimum of 6 months advance notice.  The terms of the purchase and agreement agreement state that the seller will be responsible for payment of all relocation costs for any tenants as applicable.</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3531</v>
      </c>
      <c r="B1694" s="1818" t="s">
        <v>2619</v>
      </c>
      <c r="C1694" s="1818"/>
      <c r="D1694" s="435"/>
      <c r="E1694" s="2228"/>
      <c r="F1694" s="2228"/>
      <c r="G1694" s="2228"/>
      <c r="H1694" s="2228"/>
      <c r="O1694" s="2224" t="s">
        <v>1781</v>
      </c>
      <c r="P1694" s="1719"/>
      <c r="Q1694" s="1719"/>
    </row>
    <row r="1695" spans="1:31" s="1852" customFormat="1" ht="14.1" customHeight="1">
      <c r="B1695" s="435" t="s">
        <v>4081</v>
      </c>
      <c r="C1695" s="1818"/>
      <c r="D1695" s="435"/>
      <c r="E1695" s="2228"/>
      <c r="F1695" s="2228"/>
      <c r="G1695" s="2228"/>
      <c r="H1695" s="2228"/>
    </row>
    <row r="1696" spans="1:31" s="2158" customFormat="1" ht="21.75" customHeight="1">
      <c r="A1696" s="2224" t="s">
        <v>1893</v>
      </c>
      <c r="B1696" s="2223" t="s">
        <v>3455</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3454</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4048</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4049</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4050</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4051</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3456</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4108</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4109</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4152</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The applicant and proposed management agent (Hallmark Management, Inc.) agree to submit an (AFFH) Plan as outlined in the selections above.  This plan will ensure the required Affrimatively Furthering Fair Housing procedures are enacted and carried out on the project.</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3966</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applicant is proposing the utilization of both LIHTC and Historic Tax Credit equity proceeds to facilitate the re-development of Wagon Works.  The proposed project is located adjacent to the Marta East Point station (0.2 miles &amp; with convienient walkablility).  The proposed project is also located within the East Point TOD Redevelopment Area.  The proposed project is an optimal utilization of the resources of the Low Income Housing Credit Program.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2021-006 Wagon Works,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7124</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69.5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6315</v>
      </c>
      <c r="B1727" s="2304"/>
      <c r="C1727" s="2304"/>
      <c r="D1727" s="435" t="s">
        <v>6316</v>
      </c>
      <c r="E1727" s="435"/>
      <c r="F1727" s="435"/>
      <c r="G1727" s="435"/>
      <c r="H1727" s="435"/>
      <c r="I1727" s="435"/>
      <c r="J1727" s="435"/>
      <c r="K1727" s="435"/>
      <c r="L1727" s="435"/>
      <c r="M1727" s="435"/>
      <c r="O1727" s="2122">
        <f>'Part IX Scoring Criteria'!O8</f>
        <v>0</v>
      </c>
      <c r="P1727" s="2110"/>
      <c r="Q1727" s="435" t="s">
        <v>7125</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7051</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6367</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6368</v>
      </c>
      <c r="D1733" s="435"/>
      <c r="E1733" s="435"/>
      <c r="F1733" s="435"/>
      <c r="G1733" s="2156"/>
      <c r="H1733" s="1864" t="s">
        <v>7126</v>
      </c>
      <c r="I1733" s="2156"/>
      <c r="J1733" s="2156"/>
      <c r="K1733" s="2156"/>
      <c r="L1733" s="2156"/>
      <c r="M1733" s="2305" t="s">
        <v>7127</v>
      </c>
      <c r="N1733" s="2156"/>
      <c r="O1733" s="2122">
        <f>'Part IX Scoring Criteria'!O14</f>
        <v>0</v>
      </c>
      <c r="P1733" s="2108">
        <f>IF(P1735&lt;2,0,IF(AND(P1735&gt;1,P1735&lt;5),1,IF(P1735&gt;4,P1735-3)))</f>
        <v>0</v>
      </c>
      <c r="Q1733" s="435" t="s">
        <v>7125</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3544</v>
      </c>
      <c r="B1735" s="1967" t="s">
        <v>3545</v>
      </c>
      <c r="C1735" s="435"/>
      <c r="D1735" s="435"/>
      <c r="E1735" s="1967" t="s">
        <v>3552</v>
      </c>
      <c r="F1735" s="1967" t="s">
        <v>6824</v>
      </c>
      <c r="G1735" s="1967"/>
      <c r="H1735" s="1967"/>
      <c r="I1735" s="1967"/>
      <c r="J1735" s="1967"/>
      <c r="K1735" s="1967"/>
      <c r="L1735" s="1967"/>
      <c r="M1735" s="1967"/>
      <c r="N1735" s="1967"/>
      <c r="O1735" s="2305" t="s">
        <v>3973</v>
      </c>
      <c r="P1735" s="2164">
        <f>SUM(P1736:P1748)</f>
        <v>0</v>
      </c>
      <c r="Q1735" s="435" t="s">
        <v>7128</v>
      </c>
      <c r="R1735" s="435"/>
      <c r="S1735" s="435"/>
      <c r="T1735" s="435"/>
      <c r="U1735" s="435"/>
      <c r="V1735" s="435"/>
    </row>
    <row r="1736" spans="1:22" s="1818" customFormat="1" ht="10.5" customHeight="1">
      <c r="A1736" s="2307" t="s">
        <v>1713</v>
      </c>
      <c r="B1736" s="1905" t="s">
        <v>3546</v>
      </c>
      <c r="C1736" s="1905"/>
      <c r="D1736" s="1905"/>
      <c r="E1736" s="2308">
        <f>'Part IX Scoring Criteria'!E17</f>
        <v>20</v>
      </c>
      <c r="F1736" s="2229" t="str">
        <f>'Part IX Scoring Criteria'!F17</f>
        <v xml:space="preserve">Wagon Works has twelve (12) DCA Desirable Activities within the 1.5 mile walking distance, Five (5) of those desirables are within .5 miles of the project.  The project totals 31 points which more than exceeds the 20 point maximum for this scoring section.  </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4241</v>
      </c>
      <c r="C1737" s="1905"/>
      <c r="D1737" s="1905"/>
      <c r="E1737" s="2308">
        <f>'Part IX Scoring Criteria'!E18</f>
        <v>5</v>
      </c>
      <c r="F1737" s="2229" t="str">
        <f>'Part IX Scoring Criteria'!F18</f>
        <v>Wagon Works is located adjacent to the East Point Marta Transit HUB.  The East Point is a train station is located at 2848 East Main Street in East Point, Georgia, serving the Red and Gold lines of the Metropolitan Atlanta Rapid Transit Authority (MARTA) rail system. It has an island platform between two tracks. It was opened on August 16, 1986. In addition to the Red and Gold rail lines the station also includes nearly 1000 parking spaces and has four connecting bus routes, Route 78, Route 84, Route 192, and Route 193. A copy of the rail and bus schedules along with the cost of service are included in tab 280105 of the Wagon Works application. It mainly serves East Point, Camp Creek, and unincorporated South Fulton and College Park. This station provides access to Downtown East Point historic dining-shopping-urban renewal district, and East Point Public Library. Bus service is provided at this station to Atlanta Medical Center-South Campus, Brownsmill Golf Course, Point University, Fulton County Board of Education, Camp Creek Market Place, Fulton HJC Bowden Senior Center, Cleveland Avenue and Grady East Point Health Center. The planned Clayton County commuter rail is expected to terminate here.</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3485</v>
      </c>
      <c r="C1738" s="1905"/>
      <c r="D1738" s="1905"/>
      <c r="E1738" s="2308">
        <f>'Part IX Scoring Criteria'!E19</f>
        <v>1.5</v>
      </c>
      <c r="F1738" s="2229" t="str">
        <f>'Part IX Scoring Criteria'!F19</f>
        <v xml:space="preserve">Two of the three schools meet the "Beating the Odds Designation" for Wagon Works.  Please see the Beating the Odds for 2019 included within the application along with the district map from the Fulton County School District Website.  </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3547</v>
      </c>
      <c r="C1739" s="1905"/>
      <c r="D1739" s="1905"/>
      <c r="E1739" s="2308">
        <f>'Part IX Scoring Criteria'!E20</f>
        <v>7</v>
      </c>
      <c r="F1739" s="2229" t="str">
        <f>'Part IX Scoring Criteria'!F20</f>
        <v xml:space="preserve">Wagon Works is located within a QCT in the East Point LCI Main Street Corridor TOD Area Redevelopment Plan.  The plan was Initiated and funded by the City of East Point and the Atlanta Regional Commission through a Livable Centers Initiative grant in 2012, the over-arching goal of The TOD Plan is to create a regional model for how to effectively develop a thriving, mixed-use transit village that is economically viable and attractive to residents and businesses alike. Through a four-phase process that includes vision and understanding, community engagement, plan concepts and an acti on-focused implementati on plan, the eightmonth planning effort determined appropriate land uses, transportati on improvements, revitalizati on opportuniti es, and urban design to create a mixed-use, transit, and pedestrian friendly corridor that not only supports, yet also encourages short- and longrange alternate forms of transportation, especially transit.  
Wagon Works meets the Transit Oriented Development principles and goals for the plan to focus on walkable, mixed use areas integrated with transit (approximately within ½ mile of a transit station). By promoting mixed-income TOD, this plan looks holistically at land use and transportation to promote a mix of housing choices that serve a variety of people at different income levels and stages of their lifecycle. This supports the Atlanta Regional Commission’s goals for both the Livable Centers Initiative and Lifelong Communities Initiative, and importantly, complements MARTA’s goal of promoting “a sustainable, affordable, and growing future for the people of Metro Atlanta.” 
The City of East Point has implemented the plan since its adoption in 2015.  The city has invested or is scheduled to invest close to $60,000,000 within the past three years.  This includes a new city hall and amphitheater, civic auditorium, the East Point PATH, Streetscape Projects, etc.  All required documentation is located within tab 30 of the application verifying third party capital investment within .5 miles of the Wagon Works Redevelopment.  
</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3548</v>
      </c>
      <c r="C1740" s="1905"/>
      <c r="D1740" s="1905"/>
      <c r="E1740" s="2308" t="str">
        <f>'Part IX Scoring Criteria'!E21</f>
        <v>n/a</v>
      </c>
      <c r="F1740" s="2229" t="str">
        <f>'Part IX Scoring Criteria'!F21</f>
        <v>Not Applicable</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4242</v>
      </c>
      <c r="C1741" s="1905"/>
      <c r="D1741" s="1905"/>
      <c r="E1741" s="2308">
        <f>'Part IX Scoring Criteria'!E22</f>
        <v>0</v>
      </c>
      <c r="F1741" s="2229" t="str">
        <f>'Part IX Scoring Criteria'!F22</f>
        <v>Not Applicable</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4244</v>
      </c>
      <c r="B1742" s="1905" t="s">
        <v>3396</v>
      </c>
      <c r="C1742" s="1905"/>
      <c r="D1742" s="1905"/>
      <c r="E1742" s="2308">
        <f>'Part IX Scoring Criteria'!E23</f>
        <v>0</v>
      </c>
      <c r="F1742" s="2229" t="str">
        <f>'Part IX Scoring Criteria'!F23</f>
        <v>Not Applicable</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4256</v>
      </c>
      <c r="B1743" s="1905" t="s">
        <v>4245</v>
      </c>
      <c r="C1743" s="1905"/>
      <c r="D1743" s="1905"/>
      <c r="E1743" s="2308">
        <f>'Part IX Scoring Criteria'!E24</f>
        <v>0</v>
      </c>
      <c r="F1743" s="2229" t="str">
        <f>'Part IX Scoring Criteria'!F24</f>
        <v xml:space="preserve">The project is not a phased development, therefore not applicable.  </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6531</v>
      </c>
      <c r="B1744" s="1905" t="s">
        <v>4246</v>
      </c>
      <c r="C1744" s="1905"/>
      <c r="D1744" s="1905"/>
      <c r="E1744" s="2308">
        <f>'Part IX Scoring Criteria'!E25</f>
        <v>3</v>
      </c>
      <c r="F1744" s="2229" t="str">
        <f>'Part IX Scoring Criteria'!F25</f>
        <v xml:space="preserve">The project qualifies as a TOD therefore it qualifies for 3 points in the section. Please see the required documentation in Tab 35 of the application.  </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3521</v>
      </c>
      <c r="B1745" s="1905" t="s">
        <v>3549</v>
      </c>
      <c r="C1745" s="1905"/>
      <c r="D1745" s="1905"/>
      <c r="E1745" s="2308">
        <f>'Part IX Scoring Criteria'!E26</f>
        <v>0</v>
      </c>
      <c r="F1745" s="2229" t="str">
        <f>'Part IX Scoring Criteria'!F26</f>
        <v xml:space="preserve">East Point is a Freshman GICH Community Member.  Therefore Wagon Works does not qualify for these points.  </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3519</v>
      </c>
      <c r="B1746" s="1905" t="s">
        <v>3550</v>
      </c>
      <c r="C1746" s="1905"/>
      <c r="D1746" s="1905"/>
      <c r="E1746" s="2308">
        <f>'Part IX Scoring Criteria'!E27</f>
        <v>2</v>
      </c>
      <c r="F1746" s="2229" t="str">
        <f>'Part IX Scoring Criteria'!F27</f>
        <v xml:space="preserve">The project qualifies for Historic Tax Credit proceeds.  The applicant is waiting on the Georgia Part A and Part II from SHPO.  It is expected to be completed in early June prior to the July 22nd deadline for "Alternate Financing" referenced in the Q&amp;A.s from March 18, 2021.  Please find the Part 1 – Evaluation of Significance along with National Register of Historic Places Inventory-Nomination Form dated 7/11/1985 as reference to the Historic Structure of the Wagon Works.  </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3519</v>
      </c>
      <c r="B1747" s="1905" t="s">
        <v>3551</v>
      </c>
      <c r="C1747" s="1905"/>
      <c r="D1747" s="1905"/>
      <c r="E1747" s="2308">
        <f>'Part IX Scoring Criteria'!E28</f>
        <v>2</v>
      </c>
      <c r="F1747" s="2229" t="str">
        <f>'Part IX Scoring Criteria'!F28</f>
        <v xml:space="preserve">The White Hickory Wagon Manufacturing Company (Wagon Works) was one of the earliest buildings constructed in East Point, Georgia.  Constructed in 1884 and located on East Cleveland Avenue, it is comprised of several attached one and two-story brick structures.  Wagon Works is located within the East Point Industrial Historic District in downtown East Point along with four other historic complexes including the Buggy Works, Couch Brothers Cotton Mills, Atlanta Utility Works, and the Oak Knitting Mill Buildings.  
The White Hickory Wagon Manufacturing Company, which began operation in 1884, produced wagons until the 1920’s when motorized farm vehicles replaced the wagon as the primary farm vehicle.  The company supplied wagons to much of the southeast for about forty years.  After White Hickory went out of business the Wagon Works building became owned by the O’Neill Brothers Cotton Linters &amp; Waste Textile Company from 1960 to 1984.  A group of investors purchased the Wagon Works building within the last decade and remodeled it into office and retail space.  The Covid-19 Pandemic was detrimental to the operations of the building as companies moved to a work from home model and retail companies went out of businesses.
Please find the Part 1 – Evaluation of Significance along with National Register of Historic Places Inventory-Nomination Form dated 7/11/1985 as reference to the Historic Structure of the Wagon Works.  </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3526</v>
      </c>
      <c r="B1748" s="1905" t="s">
        <v>6361</v>
      </c>
      <c r="C1748" s="1905"/>
      <c r="D1748" s="1905"/>
      <c r="E1748" s="2308">
        <f>'Part IX Scoring Criteria'!E29</f>
        <v>2</v>
      </c>
      <c r="F1748" s="2229" t="str">
        <f>'Part IX Scoring Criteria'!F29</f>
        <v>Not Applicable</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6369</v>
      </c>
      <c r="C1750" s="2284"/>
      <c r="D1750" s="2114"/>
      <c r="E1750" s="2114"/>
      <c r="F1750" s="2114"/>
      <c r="G1750" s="2159" t="s">
        <v>6353</v>
      </c>
      <c r="H1750" s="2159"/>
      <c r="I1750" s="2159" t="s">
        <v>932</v>
      </c>
      <c r="J1750" s="2159"/>
      <c r="K1750" s="2310" t="s">
        <v>6354</v>
      </c>
      <c r="L1750" s="1973"/>
      <c r="M1750" s="1967" t="s">
        <v>6370</v>
      </c>
      <c r="N1750" s="1967"/>
      <c r="O1750" s="1967"/>
      <c r="P1750" s="1967"/>
      <c r="Q1750" s="1967"/>
      <c r="R1750" s="2311"/>
      <c r="S1750" s="2312" t="s">
        <v>6369</v>
      </c>
      <c r="T1750" s="2311"/>
      <c r="U1750" s="2311"/>
      <c r="V1750" s="2311"/>
      <c r="W1750" s="1754"/>
      <c r="X1750" s="4749" t="s">
        <v>6353</v>
      </c>
      <c r="Y1750" s="4750"/>
      <c r="Z1750" s="4749" t="s">
        <v>932</v>
      </c>
      <c r="AA1750" s="4750"/>
      <c r="AB1750" s="2313" t="s">
        <v>6354</v>
      </c>
      <c r="AC1750" s="4749" t="s">
        <v>6353</v>
      </c>
      <c r="AD1750" s="4750"/>
      <c r="AE1750" s="4749" t="s">
        <v>932</v>
      </c>
      <c r="AF1750" s="4750"/>
      <c r="AG1750" s="2313" t="s">
        <v>6354</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6355</v>
      </c>
      <c r="C1752" s="1967"/>
      <c r="D1752" s="2112"/>
      <c r="E1752" s="2112"/>
      <c r="F1752" s="2112"/>
      <c r="G1752" s="2145">
        <v>10</v>
      </c>
      <c r="H1752" s="2145"/>
      <c r="I1752" s="2145">
        <v>10</v>
      </c>
      <c r="J1752" s="2145"/>
      <c r="K1752" s="2145">
        <v>10</v>
      </c>
      <c r="L1752" s="1973"/>
      <c r="M1752" s="1967" t="s">
        <v>6371</v>
      </c>
      <c r="N1752" s="1973"/>
      <c r="O1752" s="1973"/>
      <c r="P1752" s="2317" t="str">
        <f>'Part IX Scoring Criteria'!P33</f>
        <v>9%</v>
      </c>
      <c r="Q1752" s="1973"/>
      <c r="R1752" s="2318" t="s">
        <v>712</v>
      </c>
      <c r="S1752" s="2319" t="s">
        <v>6355</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6356</v>
      </c>
      <c r="C1753" s="1967"/>
      <c r="D1753" s="2112"/>
      <c r="E1753" s="2112"/>
      <c r="F1753" s="2112"/>
      <c r="G1753" s="2145">
        <v>3</v>
      </c>
      <c r="H1753" s="2145">
        <v>3</v>
      </c>
      <c r="I1753" s="2145">
        <v>3</v>
      </c>
      <c r="J1753" s="2145">
        <v>3</v>
      </c>
      <c r="K1753" s="2145"/>
      <c r="L1753" s="1973"/>
      <c r="M1753" s="1967" t="s">
        <v>6375</v>
      </c>
      <c r="N1753" s="1967"/>
      <c r="O1753" s="1967"/>
      <c r="P1753" s="1967"/>
      <c r="Q1753" s="1973"/>
      <c r="R1753" s="2318" t="s">
        <v>1711</v>
      </c>
      <c r="S1753" s="2328" t="s">
        <v>6356</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3546</v>
      </c>
      <c r="C1754" s="1967"/>
      <c r="D1754" s="2112"/>
      <c r="E1754" s="2112"/>
      <c r="F1754" s="2112"/>
      <c r="G1754" s="2145">
        <v>20</v>
      </c>
      <c r="H1754" s="2145">
        <v>12</v>
      </c>
      <c r="I1754" s="2145"/>
      <c r="J1754" s="2145"/>
      <c r="K1754" s="2145"/>
      <c r="L1754" s="1973"/>
      <c r="M1754" s="1967" t="s">
        <v>6379</v>
      </c>
      <c r="N1754" s="1973"/>
      <c r="O1754" s="1973"/>
      <c r="P1754" s="2044" t="str">
        <f>'Part IX Scoring Criteria'!P35</f>
        <v>No</v>
      </c>
      <c r="Q1754" s="1973"/>
      <c r="R1754" s="2318" t="s">
        <v>1713</v>
      </c>
      <c r="S1754" s="2328" t="s">
        <v>3546</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4241</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4241</v>
      </c>
      <c r="T1755" s="2329"/>
      <c r="U1755" s="2330"/>
      <c r="V1755" s="2330"/>
      <c r="W1755" s="2330"/>
      <c r="X1755" s="2336">
        <f>O1827</f>
        <v>5</v>
      </c>
      <c r="Y1755" s="2337">
        <f>O1827</f>
        <v>5</v>
      </c>
      <c r="Z1755" s="2338"/>
      <c r="AA1755" s="2339"/>
      <c r="AB1755" s="2333"/>
      <c r="AC1755" s="2340">
        <f>P1827</f>
        <v>0</v>
      </c>
      <c r="AD1755" s="2337">
        <f>P1827</f>
        <v>0</v>
      </c>
      <c r="AE1755" s="2338"/>
      <c r="AF1755" s="2339"/>
      <c r="AG1755" s="2335"/>
    </row>
    <row r="1756" spans="1:33" s="1852" customFormat="1" ht="10.5" customHeight="1">
      <c r="A1756" s="2029" t="s">
        <v>742</v>
      </c>
      <c r="B1756" s="2084" t="s">
        <v>3485</v>
      </c>
      <c r="C1756" s="1967"/>
      <c r="D1756" s="2112"/>
      <c r="E1756" s="2112"/>
      <c r="F1756" s="2112"/>
      <c r="G1756" s="2145">
        <v>3</v>
      </c>
      <c r="H1756" s="2145">
        <v>2</v>
      </c>
      <c r="I1756" s="2145"/>
      <c r="J1756" s="2145"/>
      <c r="K1756" s="2145"/>
      <c r="L1756" s="1973"/>
      <c r="M1756" s="1967" t="s">
        <v>6380</v>
      </c>
      <c r="N1756" s="1973"/>
      <c r="O1756" s="1973"/>
      <c r="P1756" s="2044" t="str">
        <f>'Part IX Scoring Criteria'!P37</f>
        <v>No</v>
      </c>
      <c r="Q1756" s="1973"/>
      <c r="R1756" s="2318" t="s">
        <v>742</v>
      </c>
      <c r="S1756" s="2328" t="s">
        <v>3485</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3547</v>
      </c>
      <c r="C1757" s="1967"/>
      <c r="D1757" s="2112"/>
      <c r="E1757" s="2112"/>
      <c r="F1757" s="2112"/>
      <c r="G1757" s="2145">
        <v>7</v>
      </c>
      <c r="H1757" s="2145">
        <v>5</v>
      </c>
      <c r="I1757" s="2145"/>
      <c r="J1757" s="2145"/>
      <c r="K1757" s="2145"/>
      <c r="L1757" s="1973"/>
      <c r="M1757" s="1967" t="s">
        <v>2533</v>
      </c>
      <c r="N1757" s="1973"/>
      <c r="O1757" s="1973"/>
      <c r="P1757" s="2044" t="str">
        <f>'Part IX Scoring Criteria'!P38</f>
        <v>No</v>
      </c>
      <c r="Q1757" s="1973"/>
      <c r="R1757" s="2318" t="s">
        <v>281</v>
      </c>
      <c r="S1757" s="2328" t="s">
        <v>3547</v>
      </c>
      <c r="T1757" s="2329"/>
      <c r="U1757" s="2330"/>
      <c r="V1757" s="2330"/>
      <c r="W1757" s="2330"/>
      <c r="X1757" s="2331">
        <f>O1882</f>
        <v>7</v>
      </c>
      <c r="Y1757" s="2332">
        <f>O1882</f>
        <v>7</v>
      </c>
      <c r="Z1757" s="2338"/>
      <c r="AA1757" s="2339"/>
      <c r="AB1757" s="2333"/>
      <c r="AC1757" s="2334">
        <f>P1882</f>
        <v>0</v>
      </c>
      <c r="AD1757" s="2332">
        <f>P1882</f>
        <v>0</v>
      </c>
      <c r="AE1757" s="2338"/>
      <c r="AF1757" s="2339"/>
      <c r="AG1757" s="2335"/>
    </row>
    <row r="1758" spans="1:33" s="1852" customFormat="1" ht="10.5" customHeight="1">
      <c r="A1758" s="2029" t="s">
        <v>407</v>
      </c>
      <c r="B1758" s="2084" t="s">
        <v>3548</v>
      </c>
      <c r="C1758" s="1967"/>
      <c r="D1758" s="2112"/>
      <c r="E1758" s="2112"/>
      <c r="F1758" s="2112"/>
      <c r="G1758" s="2145">
        <v>3</v>
      </c>
      <c r="H1758" s="2145"/>
      <c r="I1758" s="2145"/>
      <c r="J1758" s="2145"/>
      <c r="K1758" s="2145"/>
      <c r="L1758" s="1973"/>
      <c r="M1758" s="1967" t="s">
        <v>6536</v>
      </c>
      <c r="P1758" s="2164" t="str">
        <f>'Part III-Sources of Funds'!$L$14</f>
        <v>No</v>
      </c>
      <c r="Q1758" s="1973"/>
      <c r="R1758" s="2318" t="s">
        <v>407</v>
      </c>
      <c r="S1758" s="2328" t="s">
        <v>3548</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4242</v>
      </c>
      <c r="C1759" s="1967"/>
      <c r="D1759" s="2112"/>
      <c r="E1759" s="2112"/>
      <c r="F1759" s="2112"/>
      <c r="G1759" s="2145">
        <v>10</v>
      </c>
      <c r="H1759" s="2145">
        <v>5</v>
      </c>
      <c r="I1759" s="2145"/>
      <c r="J1759" s="2145"/>
      <c r="K1759" s="2145"/>
      <c r="L1759" s="1973"/>
      <c r="M1759" s="1864" t="s">
        <v>6537</v>
      </c>
      <c r="N1759" s="1864"/>
      <c r="O1759" s="2114"/>
      <c r="P1759" s="2044" t="str">
        <f>'Part IX Scoring Criteria'!P40</f>
        <v>No</v>
      </c>
      <c r="Q1759" s="1973"/>
      <c r="R1759" s="2318" t="s">
        <v>346</v>
      </c>
      <c r="S1759" s="2328" t="s">
        <v>4242</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6357</v>
      </c>
      <c r="C1760" s="1967"/>
      <c r="D1760" s="2112"/>
      <c r="E1760" s="2112"/>
      <c r="F1760" s="2112"/>
      <c r="G1760" s="2145">
        <v>1</v>
      </c>
      <c r="H1760" s="2145"/>
      <c r="I1760" s="2145"/>
      <c r="J1760" s="2145"/>
      <c r="K1760" s="2145"/>
      <c r="L1760" s="1973"/>
      <c r="Q1760" s="1973"/>
      <c r="R1760" s="2318" t="s">
        <v>347</v>
      </c>
      <c r="S1760" s="2328" t="s">
        <v>6357</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6544</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6358</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6358</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3520</v>
      </c>
      <c r="B1763" s="2084" t="s">
        <v>4246</v>
      </c>
      <c r="C1763" s="1967"/>
      <c r="D1763" s="2112"/>
      <c r="E1763" s="2112"/>
      <c r="F1763" s="2112"/>
      <c r="G1763" s="2145">
        <v>5</v>
      </c>
      <c r="H1763" s="2145"/>
      <c r="I1763" s="2145"/>
      <c r="J1763" s="2145"/>
      <c r="K1763" s="2145"/>
      <c r="L1763" s="1973"/>
      <c r="P1763" s="2029" t="s">
        <v>3380</v>
      </c>
      <c r="Q1763" s="1973"/>
      <c r="R1763" s="2318" t="s">
        <v>3520</v>
      </c>
      <c r="S1763" s="2328" t="s">
        <v>4246</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2149</v>
      </c>
      <c r="B1764" s="2084" t="s">
        <v>3967</v>
      </c>
      <c r="C1764" s="1967"/>
      <c r="D1764" s="2112"/>
      <c r="E1764" s="2112"/>
      <c r="F1764" s="2112"/>
      <c r="G1764" s="2145">
        <v>4</v>
      </c>
      <c r="H1764" s="2145">
        <v>4</v>
      </c>
      <c r="I1764" s="2145">
        <v>4</v>
      </c>
      <c r="J1764" s="2145">
        <v>4</v>
      </c>
      <c r="K1764" s="2145">
        <v>4</v>
      </c>
      <c r="L1764" s="2342"/>
      <c r="M1764" s="1967" t="s">
        <v>7129</v>
      </c>
      <c r="N1764" s="1973"/>
      <c r="P1764" s="2343">
        <f>'Part IX Scoring Criteria'!P45</f>
        <v>89</v>
      </c>
      <c r="R1764" s="2318" t="s">
        <v>2149</v>
      </c>
      <c r="S1764" s="2328" t="s">
        <v>3967</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3520</v>
      </c>
      <c r="B1765" s="2084" t="s">
        <v>6359</v>
      </c>
      <c r="C1765" s="1967"/>
      <c r="D1765" s="2112"/>
      <c r="E1765" s="2112"/>
      <c r="F1765" s="2112"/>
      <c r="G1765" s="2145">
        <v>2</v>
      </c>
      <c r="H1765" s="2145"/>
      <c r="I1765" s="2145">
        <v>2</v>
      </c>
      <c r="J1765" s="2145"/>
      <c r="K1765" s="2145"/>
      <c r="L1765" s="1973"/>
      <c r="M1765" s="1967" t="s">
        <v>6574</v>
      </c>
      <c r="N1765" s="1875"/>
      <c r="O1765" s="1875"/>
      <c r="P1765" s="2343">
        <f>'Part IX Scoring Criteria'!P46</f>
        <v>0</v>
      </c>
      <c r="Q1765" s="1973"/>
      <c r="R1765" s="2318" t="s">
        <v>3520</v>
      </c>
      <c r="S1765" s="2328" t="s">
        <v>6359</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3521</v>
      </c>
      <c r="B1766" s="2084" t="s">
        <v>3549</v>
      </c>
      <c r="C1766" s="1967"/>
      <c r="D1766" s="2112"/>
      <c r="E1766" s="2112"/>
      <c r="F1766" s="2112"/>
      <c r="G1766" s="2145">
        <v>2</v>
      </c>
      <c r="H1766" s="2145"/>
      <c r="I1766" s="2145">
        <v>2</v>
      </c>
      <c r="J1766" s="2145"/>
      <c r="K1766" s="2145">
        <v>2</v>
      </c>
      <c r="L1766" s="1973"/>
      <c r="M1766" s="2127" t="s">
        <v>7052</v>
      </c>
      <c r="N1766" s="2127"/>
      <c r="O1766" s="2127"/>
      <c r="P1766" s="2127"/>
      <c r="Q1766" s="458"/>
      <c r="R1766" s="2318" t="s">
        <v>3521</v>
      </c>
      <c r="S1766" s="2328" t="s">
        <v>3549</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3519</v>
      </c>
      <c r="B1767" s="2084" t="s">
        <v>3550</v>
      </c>
      <c r="C1767" s="1967"/>
      <c r="D1767" s="2112"/>
      <c r="E1767" s="2112"/>
      <c r="F1767" s="2112"/>
      <c r="G1767" s="2145">
        <v>4</v>
      </c>
      <c r="H1767" s="2145">
        <v>4</v>
      </c>
      <c r="I1767" s="2145">
        <v>4</v>
      </c>
      <c r="J1767" s="2145">
        <v>4</v>
      </c>
      <c r="K1767" s="2145">
        <v>4</v>
      </c>
      <c r="L1767" s="1973"/>
      <c r="M1767" s="2127"/>
      <c r="N1767" s="2127"/>
      <c r="O1767" s="2127"/>
      <c r="P1767" s="2127"/>
      <c r="R1767" s="2318" t="s">
        <v>3519</v>
      </c>
      <c r="S1767" s="2328" t="s">
        <v>3550</v>
      </c>
      <c r="T1767" s="2329"/>
      <c r="U1767" s="2330"/>
      <c r="V1767" s="2330"/>
      <c r="W1767" s="2330"/>
      <c r="X1767" s="2331">
        <f>O2013</f>
        <v>2</v>
      </c>
      <c r="Y1767" s="2332">
        <f>O2013</f>
        <v>2</v>
      </c>
      <c r="Z1767" s="2331">
        <f>O2013</f>
        <v>2</v>
      </c>
      <c r="AA1767" s="2332">
        <f>O2013</f>
        <v>2</v>
      </c>
      <c r="AB1767" s="2344">
        <f>O2013</f>
        <v>2</v>
      </c>
      <c r="AC1767" s="2334">
        <f>P2013</f>
        <v>0</v>
      </c>
      <c r="AD1767" s="2332">
        <f>P2013</f>
        <v>0</v>
      </c>
      <c r="AE1767" s="2331">
        <f>P2013</f>
        <v>0</v>
      </c>
      <c r="AF1767" s="2332">
        <f>P2013</f>
        <v>0</v>
      </c>
      <c r="AG1767" s="2345">
        <f>P2013</f>
        <v>0</v>
      </c>
    </row>
    <row r="1768" spans="1:33" s="1852" customFormat="1" ht="10.5" customHeight="1">
      <c r="A1768" s="2029" t="s">
        <v>3522</v>
      </c>
      <c r="B1768" s="2084" t="s">
        <v>3551</v>
      </c>
      <c r="C1768" s="1967"/>
      <c r="D1768" s="2112"/>
      <c r="E1768" s="2112"/>
      <c r="F1768" s="2112"/>
      <c r="G1768" s="2145">
        <v>2</v>
      </c>
      <c r="H1768" s="2145"/>
      <c r="I1768" s="2145"/>
      <c r="J1768" s="2145"/>
      <c r="K1768" s="2145"/>
      <c r="L1768" s="1973"/>
      <c r="M1768" s="2127"/>
      <c r="N1768" s="2127"/>
      <c r="O1768" s="2127"/>
      <c r="P1768" s="2127"/>
      <c r="R1768" s="2318" t="s">
        <v>3522</v>
      </c>
      <c r="S1768" s="2328" t="s">
        <v>3551</v>
      </c>
      <c r="T1768" s="2329"/>
      <c r="U1768" s="2330"/>
      <c r="V1768" s="2330"/>
      <c r="W1768" s="2330"/>
      <c r="X1768" s="2338">
        <f>O2049</f>
        <v>2</v>
      </c>
      <c r="Y1768" s="2339"/>
      <c r="Z1768" s="2338"/>
      <c r="AA1768" s="2339"/>
      <c r="AB1768" s="2333"/>
      <c r="AC1768" s="2341">
        <f>P2049</f>
        <v>0</v>
      </c>
      <c r="AD1768" s="2339"/>
      <c r="AE1768" s="2338"/>
      <c r="AF1768" s="2339"/>
      <c r="AG1768" s="2335"/>
    </row>
    <row r="1769" spans="1:33" s="1852" customFormat="1" ht="10.5" customHeight="1">
      <c r="A1769" s="2029" t="s">
        <v>3523</v>
      </c>
      <c r="B1769" s="2084" t="s">
        <v>6360</v>
      </c>
      <c r="C1769" s="1967"/>
      <c r="D1769" s="2112"/>
      <c r="E1769" s="2112"/>
      <c r="F1769" s="2112"/>
      <c r="G1769" s="2145">
        <v>10</v>
      </c>
      <c r="H1769" s="2145">
        <v>10</v>
      </c>
      <c r="I1769" s="2145">
        <v>10</v>
      </c>
      <c r="J1769" s="2145">
        <v>10</v>
      </c>
      <c r="K1769" s="2145">
        <v>10</v>
      </c>
      <c r="L1769" s="1973"/>
      <c r="M1769" s="2127"/>
      <c r="N1769" s="2127"/>
      <c r="O1769" s="2127"/>
      <c r="P1769" s="2127"/>
      <c r="R1769" s="2318" t="s">
        <v>3523</v>
      </c>
      <c r="S1769" s="2328" t="s">
        <v>6360</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3526</v>
      </c>
      <c r="B1770" s="2084" t="s">
        <v>6361</v>
      </c>
      <c r="C1770" s="1967"/>
      <c r="D1770" s="2112"/>
      <c r="E1770" s="2112"/>
      <c r="F1770" s="2112"/>
      <c r="G1770" s="2145">
        <v>2</v>
      </c>
      <c r="H1770" s="2145"/>
      <c r="I1770" s="2145">
        <v>2</v>
      </c>
      <c r="J1770" s="2145"/>
      <c r="K1770" s="2145"/>
      <c r="L1770" s="1973"/>
      <c r="M1770" s="2127"/>
      <c r="N1770" s="2127"/>
      <c r="O1770" s="2127"/>
      <c r="P1770" s="2127"/>
      <c r="R1770" s="2318" t="s">
        <v>3526</v>
      </c>
      <c r="S1770" s="2328" t="s">
        <v>6361</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3527</v>
      </c>
      <c r="B1771" s="2084" t="s">
        <v>6362</v>
      </c>
      <c r="C1771" s="1967"/>
      <c r="D1771" s="2112"/>
      <c r="E1771" s="2112"/>
      <c r="F1771" s="2112"/>
      <c r="G1771" s="2145"/>
      <c r="H1771" s="2145"/>
      <c r="I1771" s="2145">
        <v>6</v>
      </c>
      <c r="J1771" s="2145">
        <v>6</v>
      </c>
      <c r="K1771" s="2145">
        <v>6</v>
      </c>
      <c r="L1771" s="1973"/>
      <c r="M1771" s="2127"/>
      <c r="N1771" s="2127"/>
      <c r="O1771" s="2127"/>
      <c r="P1771" s="2127"/>
      <c r="R1771" s="2318" t="s">
        <v>3527</v>
      </c>
      <c r="S1771" s="2328" t="s">
        <v>6362</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3528</v>
      </c>
      <c r="B1772" s="2084" t="s">
        <v>6363</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3528</v>
      </c>
      <c r="S1772" s="2328" t="s">
        <v>6363</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3529</v>
      </c>
      <c r="B1773" s="2084" t="s">
        <v>6364</v>
      </c>
      <c r="C1773" s="1967"/>
      <c r="D1773" s="2112"/>
      <c r="E1773" s="2112"/>
      <c r="F1773" s="2112"/>
      <c r="G1773" s="2145"/>
      <c r="H1773" s="2145"/>
      <c r="I1773" s="2145"/>
      <c r="J1773" s="2145">
        <v>4</v>
      </c>
      <c r="K1773" s="2145"/>
      <c r="L1773" s="1973"/>
      <c r="Q1773" s="1973"/>
      <c r="R1773" s="2318" t="s">
        <v>3529</v>
      </c>
      <c r="S1773" s="2328" t="s">
        <v>6364</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3530</v>
      </c>
      <c r="B1774" s="2084" t="s">
        <v>6365</v>
      </c>
      <c r="C1774" s="1967"/>
      <c r="D1774" s="2112"/>
      <c r="E1774" s="2112"/>
      <c r="F1774" s="2112"/>
      <c r="G1774" s="2145"/>
      <c r="H1774" s="2145"/>
      <c r="I1774" s="2145">
        <v>2</v>
      </c>
      <c r="J1774" s="2145"/>
      <c r="K1774" s="2145">
        <v>2</v>
      </c>
      <c r="L1774" s="1973"/>
      <c r="M1774" s="1967" t="s">
        <v>6372</v>
      </c>
      <c r="N1774" s="1967"/>
      <c r="O1774" s="1967"/>
      <c r="P1774" s="1967"/>
      <c r="Q1774" s="1973"/>
      <c r="R1774" s="2318" t="s">
        <v>3530</v>
      </c>
      <c r="S1774" s="2328" t="s">
        <v>6365</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3531</v>
      </c>
      <c r="B1775" s="2084" t="s">
        <v>6366</v>
      </c>
      <c r="C1775" s="1967"/>
      <c r="D1775" s="2112"/>
      <c r="E1775" s="2112"/>
      <c r="F1775" s="2112"/>
      <c r="G1775" s="2145"/>
      <c r="H1775" s="2145">
        <v>16</v>
      </c>
      <c r="I1775" s="2145"/>
      <c r="J1775" s="2145">
        <v>16</v>
      </c>
      <c r="K1775" s="2145"/>
      <c r="L1775" s="1973"/>
      <c r="M1775" s="1864" t="str">
        <f>'Part I-Project Information'!$H$105</f>
        <v>Atlanta Metro</v>
      </c>
      <c r="N1775" s="1864"/>
      <c r="O1775" s="1864"/>
      <c r="P1775" s="1864"/>
      <c r="Q1775" s="1973"/>
      <c r="R1775" s="2318" t="s">
        <v>3531</v>
      </c>
      <c r="S1775" s="2346" t="s">
        <v>6366</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6532</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69.5</v>
      </c>
      <c r="Y1777" s="2356">
        <f t="shared" ref="Y1777:AB1777" si="384">SUM(Y1752:Y1775)</f>
        <v>51.5</v>
      </c>
      <c r="Z1777" s="2356">
        <f t="shared" si="384"/>
        <v>30</v>
      </c>
      <c r="AA1777" s="2356">
        <f t="shared" si="384"/>
        <v>18</v>
      </c>
      <c r="AB1777" s="2356">
        <f t="shared" si="384"/>
        <v>26</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7130</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3968</v>
      </c>
      <c r="D1780" s="1719"/>
      <c r="E1780" s="1719"/>
      <c r="F1780" s="2164"/>
      <c r="N1780" s="2255" t="s">
        <v>1893</v>
      </c>
      <c r="P1780" s="2172">
        <f>SUM(P1781:P1783)</f>
        <v>0</v>
      </c>
      <c r="Q1780" s="435" t="s">
        <v>7131</v>
      </c>
    </row>
    <row r="1781" spans="1:33" s="2274" customFormat="1" ht="12.75" customHeight="1">
      <c r="A1781" s="2141"/>
      <c r="B1781" s="2358" t="s">
        <v>1896</v>
      </c>
      <c r="C1781" s="1719" t="s">
        <v>3971</v>
      </c>
      <c r="D1781" s="1719"/>
      <c r="E1781" s="1719"/>
      <c r="F1781" s="2164"/>
      <c r="H1781" s="1864" t="s">
        <v>3298</v>
      </c>
      <c r="J1781" s="2156"/>
      <c r="N1781" s="2359" t="s">
        <v>1896</v>
      </c>
      <c r="P1781" s="2172">
        <f>F1789</f>
        <v>0</v>
      </c>
    </row>
    <row r="1782" spans="1:33" s="2274" customFormat="1" ht="12.75" customHeight="1">
      <c r="A1782" s="2141"/>
      <c r="B1782" s="2358" t="s">
        <v>1898</v>
      </c>
      <c r="C1782" s="1719" t="s">
        <v>7132</v>
      </c>
      <c r="D1782" s="1719"/>
      <c r="E1782" s="1719"/>
      <c r="F1782" s="2164"/>
      <c r="H1782" s="1864" t="s">
        <v>3969</v>
      </c>
      <c r="J1782" s="2156"/>
      <c r="N1782" s="2359" t="s">
        <v>1898</v>
      </c>
      <c r="P1782" s="2172">
        <f>J1789</f>
        <v>0</v>
      </c>
    </row>
    <row r="1783" spans="1:33" s="2274" customFormat="1" ht="12.75" customHeight="1">
      <c r="A1783" s="2141"/>
      <c r="B1783" s="2358" t="s">
        <v>2416</v>
      </c>
      <c r="C1783" s="1719" t="s">
        <v>3970</v>
      </c>
      <c r="D1783" s="1719"/>
      <c r="E1783" s="1719"/>
      <c r="F1783" s="2164"/>
      <c r="H1783" s="1864" t="s">
        <v>3974</v>
      </c>
      <c r="J1783" s="2156"/>
      <c r="N1783" s="2359" t="s">
        <v>2416</v>
      </c>
      <c r="P1783" s="2122"/>
    </row>
    <row r="1784" spans="1:33" s="2274" customFormat="1" ht="12.75" customHeight="1">
      <c r="C1784" s="1905" t="s">
        <v>7053</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7133</v>
      </c>
      <c r="J1786" s="2156"/>
      <c r="M1786" s="2108"/>
      <c r="N1786" s="2255" t="s">
        <v>1895</v>
      </c>
      <c r="P1786" s="2172">
        <f>O1789</f>
        <v>0</v>
      </c>
      <c r="Q1786" s="435" t="s">
        <v>7131</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7054</v>
      </c>
      <c r="B1788" s="1875"/>
      <c r="C1788" s="1875"/>
      <c r="D1788" s="1875"/>
      <c r="E1788" s="1875"/>
      <c r="F1788" s="2044" t="s">
        <v>3543</v>
      </c>
      <c r="G1788" s="435" t="s">
        <v>7055</v>
      </c>
      <c r="H1788" s="435"/>
      <c r="I1788" s="435"/>
      <c r="J1788" s="2044" t="s">
        <v>3543</v>
      </c>
      <c r="K1788" s="2112" t="s">
        <v>7056</v>
      </c>
      <c r="L1788" s="2112"/>
      <c r="M1788" s="2112"/>
      <c r="N1788" s="2112"/>
      <c r="O1788" s="1864" t="s">
        <v>3543</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7134</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6542</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3981</v>
      </c>
      <c r="G1804" s="2112"/>
      <c r="H1804" s="435"/>
      <c r="I1804" s="2156"/>
      <c r="K1804" s="2029"/>
      <c r="L1804" s="2365"/>
      <c r="M1804" s="2108"/>
      <c r="N1804" s="2108"/>
      <c r="O1804" s="2192"/>
      <c r="P1804" s="2192"/>
      <c r="Q1804" s="2108"/>
      <c r="R1804" s="2366"/>
    </row>
    <row r="1805" spans="1:20" s="2274" customFormat="1" ht="13.5" customHeight="1">
      <c r="A1805" s="2141" t="s">
        <v>1893</v>
      </c>
      <c r="B1805" s="2115" t="s">
        <v>7135</v>
      </c>
      <c r="E1805" s="435"/>
      <c r="G1805" s="2112"/>
      <c r="H1805" s="2112" t="s">
        <v>4066</v>
      </c>
      <c r="I1805" s="2367" t="str">
        <f>'Part I-Project Information'!$K$94</f>
        <v>Income Averaging</v>
      </c>
      <c r="M1805" s="2108"/>
      <c r="N1805" s="2108"/>
      <c r="Q1805" s="2108"/>
      <c r="R1805" s="2366"/>
    </row>
    <row r="1806" spans="1:20" s="2284" customFormat="1" ht="9" customHeight="1">
      <c r="A1806" s="2141"/>
      <c r="B1806" s="1719" t="s">
        <v>3975</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3976</v>
      </c>
      <c r="D1808" s="435"/>
      <c r="H1808" s="435" t="s">
        <v>3977</v>
      </c>
      <c r="I1808" s="1864"/>
      <c r="J1808" s="2370">
        <f>'Part VI-Revenues &amp; Expenses'!B1721</f>
        <v>0</v>
      </c>
      <c r="L1808" s="1875" t="str">
        <f>IF(AND(O1808&gt;0,O1809&gt;0), "CHOOSE EITHER A OR B, NOT BOTH!", "")</f>
        <v/>
      </c>
      <c r="M1808" s="2117">
        <v>2</v>
      </c>
      <c r="N1808" s="2360" t="s">
        <v>1896</v>
      </c>
      <c r="O1808" s="2371">
        <f>'Part IX Scoring Criteria'!O89</f>
        <v>2</v>
      </c>
      <c r="P1808" s="2192"/>
      <c r="Q1808" s="2282" t="str">
        <f>IF(OR($O1808=$M1808,$O1808=0,$O1808=""),"","*CHECK!*")</f>
        <v/>
      </c>
      <c r="R1808" s="1858" t="s">
        <v>4264</v>
      </c>
    </row>
    <row r="1809" spans="1:18" s="2284" customFormat="1" ht="13.5" customHeight="1">
      <c r="A1809" s="2255" t="s">
        <v>3104</v>
      </c>
      <c r="B1809" s="2368" t="s">
        <v>1898</v>
      </c>
      <c r="C1809" s="2369" t="s">
        <v>3978</v>
      </c>
      <c r="D1809" s="435"/>
      <c r="I1809" s="1864"/>
      <c r="K1809" s="435"/>
      <c r="L1809" s="1875"/>
      <c r="M1809" s="2117">
        <v>2</v>
      </c>
      <c r="N1809" s="2360" t="s">
        <v>1898</v>
      </c>
      <c r="O1809" s="2371">
        <f>'Part IX Scoring Criteria'!O90</f>
        <v>0</v>
      </c>
      <c r="P1809" s="2192"/>
      <c r="Q1809" s="2282" t="str">
        <f>IF(OR($O1809=$M1809,$O1809=0,$O1809=""),"","*CHECK!*")</f>
        <v/>
      </c>
      <c r="R1809" s="1858" t="s">
        <v>4264</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7136</v>
      </c>
      <c r="E1811" s="2112"/>
      <c r="H1811" s="1864" t="s">
        <v>3979</v>
      </c>
      <c r="I1811" s="1864"/>
      <c r="J1811" s="2372" t="s">
        <v>3980</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3468</v>
      </c>
      <c r="E1813" s="2378"/>
      <c r="F1813" s="2290"/>
      <c r="I1813" s="2302"/>
      <c r="J1813" s="2302"/>
      <c r="K1813" s="2302"/>
      <c r="L1813" s="2302"/>
      <c r="M1813" s="2302"/>
      <c r="N1813" s="2359" t="s">
        <v>1898</v>
      </c>
      <c r="O1813" s="2230">
        <f>'Part IX Scoring Criteria'!O94</f>
        <v>0</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3518</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2565</v>
      </c>
      <c r="I1820" s="1864" t="s">
        <v>7137</v>
      </c>
      <c r="J1820" s="1864"/>
      <c r="K1820" s="1864"/>
      <c r="L1820" s="1864"/>
      <c r="M1820" s="2108">
        <v>20</v>
      </c>
      <c r="N1820" s="2360" t="s">
        <v>1893</v>
      </c>
      <c r="O1820" s="2380">
        <f>'Part IX Scoring Criteria'!O101</f>
        <v>20</v>
      </c>
      <c r="P1820" s="2303"/>
      <c r="Q1820" s="2282"/>
      <c r="R1820" s="1858" t="s">
        <v>4264</v>
      </c>
    </row>
    <row r="1821" spans="1:18" s="2284" customFormat="1" ht="12.75" customHeight="1">
      <c r="A1821" s="2141" t="s">
        <v>1895</v>
      </c>
      <c r="B1821" s="1719" t="s">
        <v>3416</v>
      </c>
      <c r="D1821" s="2381"/>
      <c r="F1821" s="2003"/>
      <c r="H1821" s="2009" t="s">
        <v>3484</v>
      </c>
      <c r="I1821" s="1864"/>
      <c r="J1821" s="1864"/>
      <c r="K1821" s="1864"/>
      <c r="L1821" s="1864"/>
      <c r="M1821" s="2164" t="s">
        <v>1192</v>
      </c>
      <c r="N1821" s="2255" t="s">
        <v>1895</v>
      </c>
      <c r="O1821" s="2380">
        <f>'Part IX Scoring Criteria'!O102</f>
        <v>0</v>
      </c>
      <c r="P1821" s="2303"/>
      <c r="R1821" s="1858" t="s">
        <v>4264</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 xml:space="preserve">Wagon Works has twelve (12) DCA Desirable Activities within the 1.5 mile walking distance, Five (5) of those desirables are within .5 miles of the project.  The project totals 31 points which more than exceeds the 20 point maximum for this scoring section.  </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6381</v>
      </c>
      <c r="I1827" s="1912" t="s">
        <v>6372</v>
      </c>
      <c r="J1827" s="2044">
        <f>$M$56</f>
        <v>0</v>
      </c>
      <c r="K1827" s="2044" t="s">
        <v>367</v>
      </c>
      <c r="L1827" s="2044" t="str">
        <f>$M$1762</f>
        <v>New Supply</v>
      </c>
      <c r="M1827" s="2108">
        <v>6</v>
      </c>
      <c r="N1827" s="2255"/>
      <c r="O1827" s="2303">
        <f>'Part IX Scoring Criteria'!O108</f>
        <v>5</v>
      </c>
      <c r="P1827" s="2303">
        <f>'Part IX Scoring Criteria'!P108</f>
        <v>0</v>
      </c>
      <c r="Q1827" s="2108" t="s">
        <v>422</v>
      </c>
      <c r="R1827" s="2244" t="s">
        <v>7138</v>
      </c>
      <c r="S1827" s="2244"/>
      <c r="T1827" s="2244"/>
      <c r="U1827" s="2244"/>
    </row>
    <row r="1828" spans="1:21" s="2274" customFormat="1" ht="17.25" customHeight="1">
      <c r="A1828" s="2306"/>
      <c r="B1828" s="1719" t="s">
        <v>3469</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1896</v>
      </c>
      <c r="C1829" s="435" t="s">
        <v>3984</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3985</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2416</v>
      </c>
      <c r="C1831" s="435" t="s">
        <v>6385</v>
      </c>
      <c r="D1831" s="2381"/>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84" t="s">
        <v>1178</v>
      </c>
      <c r="C1832" s="435" t="s">
        <v>7139</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6547</v>
      </c>
      <c r="D1833" s="2381"/>
      <c r="E1833" s="2284"/>
      <c r="F1833" s="2284"/>
      <c r="G1833" s="2284"/>
      <c r="H1833" s="2156"/>
      <c r="I1833" s="2156"/>
      <c r="J1833" s="1719"/>
      <c r="K1833" s="1719"/>
      <c r="L1833" s="2284"/>
      <c r="M1833" s="2284"/>
      <c r="N1833" s="2255"/>
      <c r="O1833" s="2230" t="str">
        <f>'Part IX Scoring Criteria'!O114</f>
        <v>No</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3473</v>
      </c>
      <c r="D1835" s="2379"/>
      <c r="F1835" s="1719" t="s">
        <v>3347</v>
      </c>
      <c r="G1835" s="1719"/>
      <c r="H1835" s="1719"/>
      <c r="I1835" s="1719"/>
      <c r="J1835" s="1719" t="s">
        <v>3348</v>
      </c>
      <c r="K1835" s="1719"/>
      <c r="L1835" s="1719"/>
      <c r="M1835" s="1719"/>
      <c r="N1835" s="2255"/>
      <c r="O1835" s="2385" t="s">
        <v>7140</v>
      </c>
      <c r="P1835" s="2385"/>
      <c r="Q1835" s="2108"/>
      <c r="R1835" s="2244"/>
      <c r="S1835" s="2244"/>
      <c r="T1835" s="2244"/>
      <c r="U1835" s="2244"/>
    </row>
    <row r="1836" spans="1:21" s="2274" customFormat="1" ht="12.75" customHeight="1">
      <c r="A1836" s="2306"/>
      <c r="C1836" s="1719" t="s">
        <v>3472</v>
      </c>
      <c r="D1836" s="1989"/>
      <c r="E1836" s="1875"/>
      <c r="F1836" s="1872">
        <f>'Part IX Scoring Criteria'!F117</f>
        <v>33.679437</v>
      </c>
      <c r="G1836" s="1872"/>
      <c r="H1836" s="2386"/>
      <c r="I1836" s="2386"/>
      <c r="J1836" s="1872">
        <f>'Part IX Scoring Criteria'!J117</f>
        <v>-84.438890999999998</v>
      </c>
      <c r="K1836" s="1872"/>
      <c r="L1836" s="2386"/>
      <c r="M1836" s="2386"/>
      <c r="N1836" s="2255"/>
      <c r="Q1836" s="2108"/>
      <c r="R1836" s="2244"/>
      <c r="S1836" s="2244"/>
      <c r="T1836" s="2244"/>
      <c r="U1836" s="2244"/>
    </row>
    <row r="1837" spans="1:21" s="2274" customFormat="1" ht="12.75" customHeight="1">
      <c r="A1837" s="2387" t="s">
        <v>3542</v>
      </c>
      <c r="B1837" s="2387"/>
      <c r="E1837" s="2255" t="s">
        <v>6387</v>
      </c>
      <c r="F1837" s="1872">
        <f>'Part IX Scoring Criteria'!F118</f>
        <v>33.678097999999999</v>
      </c>
      <c r="G1837" s="1872"/>
      <c r="H1837" s="2386"/>
      <c r="I1837" s="2386"/>
      <c r="J1837" s="1872">
        <f>'Part IX Scoring Criteria'!J118</f>
        <v>-84.440400999999994</v>
      </c>
      <c r="K1837" s="1872"/>
      <c r="L1837" s="2386"/>
      <c r="M1837" s="2386"/>
      <c r="N1837" s="2255"/>
      <c r="O1837" s="2388">
        <f>'Part IX Scoring Criteria'!O118</f>
        <v>0.2</v>
      </c>
      <c r="P1837" s="2389"/>
      <c r="Q1837" s="2108"/>
      <c r="R1837" s="2244"/>
      <c r="S1837" s="2244"/>
      <c r="T1837" s="2244"/>
      <c r="U1837" s="2244"/>
    </row>
    <row r="1838" spans="1:21" s="2274" customFormat="1" ht="12.75" customHeight="1">
      <c r="A1838" s="2387"/>
      <c r="B1838" s="2387"/>
      <c r="C1838" s="1719" t="s">
        <v>3516</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3515</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6382</v>
      </c>
      <c r="B1841" s="2153"/>
      <c r="D1841" s="2379"/>
      <c r="F1841" s="2170" t="s">
        <v>7141</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3369</v>
      </c>
      <c r="D1843" s="2379"/>
      <c r="F1843" s="2156" t="s">
        <v>7142</v>
      </c>
      <c r="M1843" s="2108">
        <v>6</v>
      </c>
      <c r="N1843" s="2359" t="s">
        <v>1893</v>
      </c>
      <c r="O1843" s="2192">
        <f>'Part IX Scoring Criteria'!O124</f>
        <v>5</v>
      </c>
      <c r="P1843" s="2192">
        <f>'Part IX Scoring Criteria'!P124</f>
        <v>0</v>
      </c>
      <c r="Q1843" s="2108"/>
    </row>
    <row r="1844" spans="1:21" s="2274" customFormat="1" ht="12.6" customHeight="1">
      <c r="A1844" s="2257"/>
      <c r="B1844" s="435" t="s">
        <v>6389</v>
      </c>
      <c r="D1844" s="2379"/>
      <c r="F1844" s="2156"/>
      <c r="M1844" s="2108"/>
      <c r="N1844" s="2359"/>
      <c r="O1844" s="2230" t="str">
        <f>'Part IX Scoring Criteria'!O125</f>
        <v>Yes</v>
      </c>
      <c r="P1844" s="2164"/>
      <c r="Q1844" s="2108"/>
    </row>
    <row r="1845" spans="1:21" s="2391" customFormat="1" ht="36.75" customHeight="1">
      <c r="B1845" s="2392" t="s">
        <v>1896</v>
      </c>
      <c r="C1845" s="2223" t="s">
        <v>7143</v>
      </c>
      <c r="D1845" s="2223"/>
      <c r="E1845" s="2223"/>
      <c r="F1845" s="2223"/>
      <c r="G1845" s="2223"/>
      <c r="H1845" s="2223"/>
      <c r="I1845" s="2003" t="s">
        <v>7144</v>
      </c>
      <c r="J1845" s="2003"/>
      <c r="K1845" s="2003"/>
      <c r="L1845" s="2003"/>
      <c r="M1845" s="2309">
        <v>6</v>
      </c>
      <c r="N1845" s="2392" t="s">
        <v>1896</v>
      </c>
      <c r="O1845" s="2393">
        <f>'Part IX Scoring Criteria'!O126</f>
        <v>0</v>
      </c>
      <c r="P1845" s="2394"/>
      <c r="Q1845" s="2282"/>
      <c r="R1845" s="1858" t="s">
        <v>4264</v>
      </c>
    </row>
    <row r="1846" spans="1:21" s="2391" customFormat="1" ht="12" customHeight="1">
      <c r="A1846" s="2164" t="s">
        <v>1304</v>
      </c>
      <c r="B1846" s="2392" t="s">
        <v>1898</v>
      </c>
      <c r="C1846" s="2223" t="s">
        <v>6384</v>
      </c>
      <c r="D1846" s="2223"/>
      <c r="E1846" s="2223"/>
      <c r="F1846" s="2223"/>
      <c r="G1846" s="2223"/>
      <c r="I1846" s="2003"/>
      <c r="J1846" s="2003"/>
      <c r="K1846" s="2003"/>
      <c r="L1846" s="2003"/>
      <c r="M1846" s="2108">
        <v>5</v>
      </c>
      <c r="N1846" s="2384" t="s">
        <v>1898</v>
      </c>
      <c r="O1846" s="2380">
        <f>'Part IX Scoring Criteria'!O127</f>
        <v>5</v>
      </c>
      <c r="P1846" s="2303"/>
      <c r="Q1846" s="2282"/>
      <c r="R1846" s="1858" t="s">
        <v>4264</v>
      </c>
    </row>
    <row r="1847" spans="1:21" s="2391" customFormat="1" ht="12" customHeight="1">
      <c r="B1847" s="2392"/>
      <c r="C1847" s="2223"/>
      <c r="D1847" s="2223"/>
      <c r="E1847" s="2223"/>
      <c r="F1847" s="2223"/>
      <c r="G1847" s="1864" t="s">
        <v>6388</v>
      </c>
      <c r="H1847" s="1864"/>
      <c r="I1847" s="2003"/>
      <c r="J1847" s="2003"/>
      <c r="K1847" s="2003"/>
      <c r="L1847" s="2003"/>
      <c r="M1847" s="435" t="str">
        <f>IF(AND(O1846&gt;0,O1845&gt;0),"Pick A1 or A2!","")</f>
        <v/>
      </c>
      <c r="N1847" s="435"/>
      <c r="O1847" s="435"/>
      <c r="P1847" s="435"/>
      <c r="Q1847" s="2282"/>
      <c r="R1847" s="2044" t="s">
        <v>6566</v>
      </c>
      <c r="S1847" s="2044" t="s">
        <v>6383</v>
      </c>
    </row>
    <row r="1848" spans="1:21" s="2391" customFormat="1" ht="12" customHeight="1">
      <c r="B1848" s="2392"/>
      <c r="C1848" s="2223"/>
      <c r="D1848" s="2223"/>
      <c r="E1848" s="2223"/>
      <c r="F1848" s="2223"/>
      <c r="G1848" s="2395">
        <f>'Part IX Scoring Criteria'!G129</f>
        <v>0.2</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3370</v>
      </c>
      <c r="C1850" s="1843"/>
      <c r="D1850" s="1843"/>
      <c r="F1850" s="2227" t="s">
        <v>7145</v>
      </c>
      <c r="I1850" s="1951" t="str">
        <f>'Part IX Scoring Criteria'!I131</f>
        <v>MARTA</v>
      </c>
      <c r="J1850" s="1951"/>
      <c r="K1850" s="1951"/>
      <c r="L1850" s="2398" t="str">
        <f>'Part IX Scoring Criteria'!L131</f>
        <v>404-848-5000</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3983</v>
      </c>
      <c r="D1851" s="2381"/>
      <c r="F1851" s="2284"/>
      <c r="G1851" s="2284"/>
      <c r="H1851" s="2156"/>
      <c r="I1851" s="1951"/>
      <c r="J1851" s="1951"/>
      <c r="K1851" s="1951"/>
      <c r="L1851" s="2398"/>
      <c r="M1851" s="2284"/>
      <c r="N1851" s="2255" t="s">
        <v>3394</v>
      </c>
      <c r="O1851" s="2230">
        <f>'Part IX Scoring Criteria'!O132</f>
        <v>0</v>
      </c>
      <c r="P1851" s="2164"/>
      <c r="Q1851" s="2108"/>
      <c r="R1851" s="1967"/>
      <c r="S1851" s="2391"/>
      <c r="T1851" s="2391"/>
      <c r="U1851" s="2391"/>
    </row>
    <row r="1852" spans="1:21" s="2274" customFormat="1" ht="11.25" customHeight="1">
      <c r="A1852" s="2306"/>
      <c r="B1852" s="2255" t="s">
        <v>3395</v>
      </c>
      <c r="C1852" s="1864" t="s">
        <v>3982</v>
      </c>
      <c r="D1852" s="2381"/>
      <c r="F1852" s="2284"/>
      <c r="G1852" s="2284"/>
      <c r="H1852" s="2156"/>
      <c r="I1852" s="1951" t="str">
        <f>'Part IX Scoring Criteria'!I133</f>
        <v>jvallo@itsmarta.com</v>
      </c>
      <c r="J1852" s="1951"/>
      <c r="K1852" s="1951"/>
      <c r="L1852" s="1951"/>
      <c r="M1852" s="2284"/>
      <c r="N1852" s="2255" t="s">
        <v>3395</v>
      </c>
      <c r="O1852" s="2230">
        <f>'Part IX Scoring Criteria'!O133</f>
        <v>0</v>
      </c>
      <c r="P1852" s="2164"/>
      <c r="Q1852" s="2108"/>
      <c r="R1852" s="1967"/>
      <c r="S1852" s="2391"/>
      <c r="T1852" s="2391"/>
      <c r="U1852" s="2391"/>
    </row>
    <row r="1853" spans="1:21" s="2391" customFormat="1" ht="12" customHeight="1">
      <c r="A1853" s="2141"/>
      <c r="B1853" s="2400" t="s">
        <v>1896</v>
      </c>
      <c r="C1853" s="435" t="s">
        <v>7146</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4264</v>
      </c>
    </row>
    <row r="1854" spans="1:21" s="2274" customFormat="1" ht="12" customHeight="1">
      <c r="A1854" s="2164" t="s">
        <v>1304</v>
      </c>
      <c r="B1854" s="2400" t="s">
        <v>1898</v>
      </c>
      <c r="C1854" s="435" t="s">
        <v>7147</v>
      </c>
      <c r="D1854" s="435"/>
      <c r="E1854" s="435"/>
      <c r="F1854" s="435"/>
      <c r="G1854" s="435"/>
      <c r="H1854" s="435"/>
      <c r="I1854" s="1951" t="str">
        <f>'Part IX Scoring Criteria'!I135</f>
        <v>https://www.itsmarta.com/East-Point.aspx</v>
      </c>
      <c r="J1854" s="1951"/>
      <c r="K1854" s="1951"/>
      <c r="L1854" s="1951"/>
      <c r="M1854" s="2108">
        <v>2</v>
      </c>
      <c r="N1854" s="2384" t="s">
        <v>1898</v>
      </c>
      <c r="O1854" s="2371">
        <f>'Part IX Scoring Criteria'!O135</f>
        <v>0</v>
      </c>
      <c r="P1854" s="2192"/>
      <c r="Q1854" s="2397" t="str">
        <f>IF(OR($O1854=$M1854,$O1854=0,$O1854=""),"","*CHECK!*")</f>
        <v/>
      </c>
      <c r="R1854" s="1858" t="s">
        <v>4264</v>
      </c>
    </row>
    <row r="1855" spans="1:21" s="2274" customFormat="1" ht="21.75" customHeight="1">
      <c r="A1855" s="2252" t="s">
        <v>1304</v>
      </c>
      <c r="B1855" s="2401" t="s">
        <v>2416</v>
      </c>
      <c r="C1855" s="2223" t="s">
        <v>7148</v>
      </c>
      <c r="D1855" s="2223"/>
      <c r="E1855" s="2223"/>
      <c r="F1855" s="2223"/>
      <c r="G1855" s="2223"/>
      <c r="H1855" s="2223"/>
      <c r="I1855" s="1951"/>
      <c r="J1855" s="1951"/>
      <c r="K1855" s="1951"/>
      <c r="L1855" s="1951"/>
      <c r="M1855" s="2309">
        <v>1</v>
      </c>
      <c r="N1855" s="2392" t="s">
        <v>2416</v>
      </c>
      <c r="O1855" s="2371">
        <f>'Part IX Scoring Criteria'!O136</f>
        <v>0</v>
      </c>
      <c r="P1855" s="2402"/>
      <c r="Q1855" s="2397" t="str">
        <f>IF(OR($O1855=$M1855,$O1855=0,$O1855=""),"","*CHECK!*")</f>
        <v/>
      </c>
      <c r="R1855" s="1858" t="s">
        <v>4264</v>
      </c>
    </row>
    <row r="1856" spans="1:21" s="2274" customFormat="1" ht="12.6" customHeight="1">
      <c r="A1856" s="2390" t="s">
        <v>2608</v>
      </c>
      <c r="B1856" s="1719"/>
      <c r="E1856" s="2379"/>
      <c r="I1856" s="1951" t="str">
        <f>'Part IX Scoring Criteria'!I137</f>
        <v>https://www.itsmarta.com/East-Point.aspx</v>
      </c>
      <c r="J1856" s="1951"/>
      <c r="K1856" s="1951"/>
      <c r="L1856" s="1951"/>
      <c r="M1856" s="2108"/>
      <c r="N1856" s="2108"/>
      <c r="O1856" s="2108"/>
      <c r="P1856" s="2108"/>
      <c r="Q1856" s="2366"/>
      <c r="R1856" s="2366"/>
    </row>
    <row r="1857" spans="1:19" s="2284" customFormat="1" ht="12" customHeight="1">
      <c r="A1857" s="2141"/>
      <c r="B1857" s="2392" t="s">
        <v>1178</v>
      </c>
      <c r="C1857" s="1719" t="s">
        <v>7149</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4264</v>
      </c>
    </row>
    <row r="1858" spans="1:19" s="2284" customFormat="1" ht="12" customHeight="1">
      <c r="A1858" s="2141"/>
      <c r="B1858" s="2392"/>
      <c r="C1858" s="1719" t="s">
        <v>7150</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7151</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Wagon Works is located adjacent to the East Point Marta Transit HUB.  The East Point is a train station is located at 2848 East Main Street in East Point, Georgia, serving the Red and Gold lines of the Metropolitan Atlanta Rapid Transit Authority (MARTA) rail system. It has an island platform between two tracks. It was opened on August 16, 1986. In addition to the Red and Gold rail lines the station also includes nearly 1000 parking spaces and has four connecting bus routes, Route 78, Route 84, Route 192, and Route 193. A copy of the rail and bus schedules along with the cost of service are included in tab 280105 of the Wagon Works application. It mainly serves East Point, Camp Creek, and unincorporated South Fulton and College Park. This station provides access to Downtown East Point historic dining-shopping-urban renewal district, and East Point Public Library. Bus service is provided at this station to Atlanta Medical Center-South Campus, Brownsmill Golf Course, Point University, Fulton County Board of Education, Camp Creek Market Place, Fulton HJC Bowden Senior Center, Cleveland Avenue and Grady East Point Health Center. The planned Clayton County commuter rail is expected to terminate here.</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6393</v>
      </c>
      <c r="C1866" s="2228"/>
      <c r="D1866" s="2228"/>
      <c r="E1866" s="2228"/>
      <c r="G1866" s="2044" t="s">
        <v>3986</v>
      </c>
      <c r="H1866" s="1912" t="str">
        <f>'Part I-Project Information'!$H$77</f>
        <v>Family</v>
      </c>
      <c r="M1866" s="2108">
        <v>3</v>
      </c>
      <c r="N1866" s="2309"/>
      <c r="O1866" s="2110">
        <f>'Part IX Scoring Criteria'!O147</f>
        <v>1.5</v>
      </c>
      <c r="P1866" s="2108"/>
      <c r="Q1866" s="2282" t="str">
        <f>IF(OR($O1866&lt;=$M1866,$O1866=0,$O1866=""),"","*CHECK!*")</f>
        <v/>
      </c>
      <c r="R1866" s="2105" t="s">
        <v>422</v>
      </c>
      <c r="S1866" s="1858" t="s">
        <v>4264</v>
      </c>
    </row>
    <row r="1867" spans="1:19" ht="18.75" customHeight="1">
      <c r="C1867" s="1972" t="s">
        <v>7152</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7057</v>
      </c>
      <c r="I1868" s="1950"/>
      <c r="J1868" s="1950"/>
      <c r="K1868" s="2045" t="s">
        <v>7058</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6836</v>
      </c>
      <c r="D1870" s="2293"/>
      <c r="E1870" s="2403"/>
      <c r="F1870" s="1852"/>
      <c r="G1870" s="1852"/>
      <c r="H1870" s="1950"/>
      <c r="I1870" s="1950"/>
      <c r="J1870" s="1950"/>
      <c r="K1870" s="2045"/>
      <c r="L1870" s="2045"/>
      <c r="M1870" s="2403"/>
    </row>
    <row r="1871" spans="1:19">
      <c r="B1871" s="2084"/>
      <c r="C1871" s="2070" t="str">
        <f>'Part IX Scoring Criteria'!C152</f>
        <v>Hamilton E. Holmes Elementary</v>
      </c>
      <c r="D1871" s="2070"/>
      <c r="E1871" s="2070"/>
      <c r="F1871" s="2070"/>
      <c r="G1871" s="2070"/>
      <c r="H1871" s="2111">
        <f>'Part IX Scoring Criteria'!H152</f>
        <v>0</v>
      </c>
      <c r="I1871" s="2111"/>
      <c r="J1871" s="2111"/>
      <c r="K1871" s="2111" t="str">
        <f>'Part IX Scoring Criteria'!K152</f>
        <v>Yes</v>
      </c>
      <c r="L1871" s="2111"/>
      <c r="M1871" s="2145"/>
    </row>
    <row r="1872" spans="1:19">
      <c r="B1872" s="2084"/>
      <c r="C1872" s="2070" t="str">
        <f>'Part IX Scoring Criteria'!C153</f>
        <v>Pal D. West Middle School</v>
      </c>
      <c r="D1872" s="2070"/>
      <c r="E1872" s="2070"/>
      <c r="F1872" s="2070"/>
      <c r="G1872" s="2070"/>
      <c r="H1872" s="2111">
        <f>'Part IX Scoring Criteria'!H153</f>
        <v>0</v>
      </c>
      <c r="I1872" s="2111"/>
      <c r="J1872" s="2111"/>
      <c r="K1872" s="2111" t="str">
        <f>'Part IX Scoring Criteria'!K153</f>
        <v>Yes</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 xml:space="preserve">Two of the three schools meet the "Beating the Odds Designation" for Wagon Works.  Please see the Beating the Odds for 2019 included within the application along with the district map from the Fulton County School District Website.  </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3486</v>
      </c>
      <c r="D1882" s="2156"/>
      <c r="E1882" s="2156"/>
      <c r="L1882" s="2406" t="str">
        <f>IF(AND(O1882&gt;0,O1884="",O1897=""),"Indicate subtotal score(s) in A or B below!","")</f>
        <v/>
      </c>
      <c r="M1882" s="2108">
        <v>7</v>
      </c>
      <c r="N1882" s="2108"/>
      <c r="O1882" s="2192">
        <f>'Part IX Scoring Criteria'!O163</f>
        <v>7</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6427</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5</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7059</v>
      </c>
      <c r="D1885" s="1719"/>
      <c r="E1885" s="1719"/>
      <c r="F1885" s="1719"/>
      <c r="G1885" s="1719"/>
      <c r="H1885" s="1719"/>
      <c r="I1885" s="1719"/>
      <c r="J1885" s="1719"/>
      <c r="K1885" s="1719"/>
      <c r="L1885" s="1719"/>
      <c r="M1885" s="2108">
        <v>2</v>
      </c>
      <c r="N1885" s="2224" t="s">
        <v>1658</v>
      </c>
      <c r="O1885" s="2407">
        <f>'Part IX Scoring Criteria'!O166</f>
        <v>2</v>
      </c>
      <c r="P1885" s="2362"/>
      <c r="Q1885" s="2282" t="str">
        <f>IF(OR($O1885=$M1885,$O1885=0,$O1885=""),"","*CHECK!*")</f>
        <v/>
      </c>
      <c r="R1885" s="1858" t="s">
        <v>4264</v>
      </c>
      <c r="S1885" s="1855"/>
      <c r="T1885" s="1855"/>
      <c r="U1885" s="1855"/>
    </row>
    <row r="1886" spans="1:21" s="2158" customFormat="1" ht="12" customHeight="1">
      <c r="B1886" s="2224" t="s">
        <v>2324</v>
      </c>
      <c r="C1886" s="2223" t="s">
        <v>7153</v>
      </c>
      <c r="D1886" s="2223"/>
      <c r="E1886" s="2223"/>
      <c r="F1886" s="2223"/>
      <c r="G1886" s="2223"/>
      <c r="H1886" s="2223"/>
      <c r="I1886" s="2223"/>
      <c r="J1886" s="2223"/>
      <c r="K1886" s="2223"/>
      <c r="L1886" s="2224"/>
      <c r="M1886" s="2112" t="s">
        <v>6301</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f>'Part IX Scoring Criteria'!M168</f>
        <v>6</v>
      </c>
      <c r="N1887" s="1942"/>
      <c r="O1887" s="1942"/>
      <c r="P1887" s="1942"/>
      <c r="S1887" s="1855"/>
      <c r="T1887" s="1855"/>
      <c r="U1887" s="1855"/>
    </row>
    <row r="1888" spans="1:21" s="1818" customFormat="1" ht="12.75" customHeight="1">
      <c r="B1888" s="2255" t="s">
        <v>2325</v>
      </c>
      <c r="C1888" s="435" t="s">
        <v>4158</v>
      </c>
      <c r="D1888" s="435"/>
      <c r="E1888" s="435"/>
      <c r="F1888" s="435"/>
      <c r="G1888" s="435"/>
      <c r="H1888" s="435"/>
      <c r="L1888" s="2255" t="s">
        <v>2325</v>
      </c>
      <c r="M1888" s="1942" t="str">
        <f>'Part IX Scoring Criteria'!M169</f>
        <v>8, 13, 14, 50, 60, 73, 77</v>
      </c>
      <c r="N1888" s="1942"/>
      <c r="O1888" s="1942"/>
      <c r="P1888" s="1942"/>
      <c r="S1888" s="1855"/>
      <c r="T1888" s="1855"/>
      <c r="U1888" s="1855"/>
    </row>
    <row r="1889" spans="1:22" s="1818" customFormat="1" ht="12.75" customHeight="1">
      <c r="B1889" s="2255" t="s">
        <v>2326</v>
      </c>
      <c r="C1889" s="435" t="s">
        <v>6425</v>
      </c>
      <c r="D1889" s="435"/>
      <c r="E1889" s="435"/>
      <c r="F1889" s="435"/>
      <c r="G1889" s="435"/>
      <c r="H1889" s="435"/>
      <c r="L1889" s="2255" t="s">
        <v>2326</v>
      </c>
      <c r="M1889" s="1942" t="str">
        <f>'Part IX Scoring Criteria'!M170</f>
        <v>46-50</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6426</v>
      </c>
      <c r="D1890" s="435"/>
      <c r="E1890" s="435"/>
      <c r="F1890" s="435"/>
      <c r="G1890" s="435"/>
      <c r="L1890" s="2255" t="s">
        <v>2327</v>
      </c>
      <c r="M1890" s="1942" t="str">
        <f>'Part IX Scoring Criteria'!M171</f>
        <v>131-156</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6549</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7060</v>
      </c>
      <c r="D1893" s="2223"/>
      <c r="E1893" s="2223"/>
      <c r="F1893" s="2223"/>
      <c r="G1893" s="2223"/>
      <c r="H1893" s="2223"/>
      <c r="I1893" s="2223"/>
      <c r="J1893" s="2223"/>
      <c r="K1893" s="2223"/>
      <c r="L1893" s="2223"/>
      <c r="M1893" s="2252">
        <v>1</v>
      </c>
      <c r="N1893" s="2224" t="s">
        <v>4284</v>
      </c>
      <c r="O1893" s="2407">
        <f>'Part IX Scoring Criteria'!O174</f>
        <v>1</v>
      </c>
      <c r="P1893" s="2362"/>
      <c r="Q1893" s="2282" t="str">
        <f>IF(OR($O1893=$M1893,$O1893=0,$O1893=""),"","*CHECK!*")</f>
        <v/>
      </c>
      <c r="R1893" s="1858" t="s">
        <v>4264</v>
      </c>
    </row>
    <row r="1894" spans="1:22" s="1852" customFormat="1" ht="36.75" customHeight="1">
      <c r="A1894" s="2255"/>
      <c r="B1894" s="2224" t="s">
        <v>2325</v>
      </c>
      <c r="C1894" s="2223" t="s">
        <v>7061</v>
      </c>
      <c r="D1894" s="2223"/>
      <c r="E1894" s="2223"/>
      <c r="F1894" s="2223"/>
      <c r="G1894" s="2223"/>
      <c r="H1894" s="2223"/>
      <c r="I1894" s="2223"/>
      <c r="J1894" s="2223"/>
      <c r="K1894" s="2223"/>
      <c r="L1894" s="2223"/>
      <c r="M1894" s="2252">
        <v>1</v>
      </c>
      <c r="N1894" s="2224" t="s">
        <v>6563</v>
      </c>
      <c r="O1894" s="2410">
        <f>'Part IX Scoring Criteria'!O175</f>
        <v>1</v>
      </c>
      <c r="P1894" s="2411"/>
      <c r="Q1894" s="2282" t="str">
        <f>IF(OR($O1894=$M1894,$O1894=0,$O1894=""),"","*CHECK!*")</f>
        <v/>
      </c>
      <c r="R1894" s="1858" t="s">
        <v>4264</v>
      </c>
    </row>
    <row r="1895" spans="1:22" s="1852" customFormat="1" ht="12" customHeight="1">
      <c r="A1895" s="2255"/>
      <c r="B1895" s="2255" t="s">
        <v>2326</v>
      </c>
      <c r="C1895" s="2223" t="s">
        <v>7062</v>
      </c>
      <c r="D1895" s="2223"/>
      <c r="E1895" s="2223"/>
      <c r="F1895" s="2223"/>
      <c r="G1895" s="2223"/>
      <c r="H1895" s="2223"/>
      <c r="I1895" s="2223"/>
      <c r="J1895" s="2223"/>
      <c r="K1895" s="2223"/>
      <c r="L1895" s="2223"/>
      <c r="M1895" s="2164">
        <v>1</v>
      </c>
      <c r="N1895" s="2255" t="s">
        <v>6564</v>
      </c>
      <c r="O1895" s="2407">
        <f>'Part IX Scoring Criteria'!O176</f>
        <v>1</v>
      </c>
      <c r="P1895" s="2362"/>
      <c r="Q1895" s="2282" t="str">
        <f>IF(OR($O1895=$M1895,$O1895=0,$O1895=""),"","*CHECK!*")</f>
        <v/>
      </c>
      <c r="R1895" s="1858" t="s">
        <v>4264</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3987</v>
      </c>
      <c r="D1897" s="1818"/>
      <c r="F1897" s="2412"/>
      <c r="K1897" s="2187"/>
      <c r="L1897" s="2366" t="str">
        <f>IF(OR($O1897=$M1897,$O1897=0,$O1897=""),"","* * Check Score! * *")</f>
        <v/>
      </c>
      <c r="M1897" s="2108">
        <v>2</v>
      </c>
      <c r="N1897" s="2255" t="s">
        <v>1895</v>
      </c>
      <c r="O1897" s="2371">
        <f>'Part IX Scoring Criteria'!O178</f>
        <v>2</v>
      </c>
      <c r="P1897" s="2192"/>
      <c r="Q1897" s="2397" t="str">
        <f>IF(OR($O1897=$M1897,$O1897=0,$O1897=""),"","*CHECK!*")</f>
        <v/>
      </c>
      <c r="R1897" s="1858" t="s">
        <v>4264</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 xml:space="preserve">Wagon Works is located within a QCT in the East Point LCI Main Street Corridor TOD Area Redevelopment Plan.  The plan was Initiated and funded by the City of East Point and the Atlanta Regional Commission through a Livable Centers Initiative grant in 2012, the over-arching goal of The TOD Plan is to create a regional model for how to effectively develop a thriving, mixed-use transit village that is economically viable and attractive to residents and businesses alike. Through a four-phase process that includes vision and understanding, community engagement, plan concepts and an acti on-focused implementati on plan, the eightmonth planning effort determined appropriate land uses, transportati on improvements, revitalizati on opportuniti es, and urban design to create a mixed-use, transit, and pedestrian friendly corridor that not only supports, yet also encourages short- and longrange alternate forms of transportation, especially transit.  
Wagon Works meets the Transit Oriented Development principles and goals for the plan to focus on walkable, mixed use areas integrated with transit (approximately within ½ mile of a transit station). By promoting mixed-income TOD, this plan looks holistically at land use and transportation to promote a mix of housing choices that serve a variety of people at different income levels and stages of their lifecycle. This supports the Atlanta Regional Commission’s goals for both the Livable Centers Initiative and Lifelong Communities Initiative, and importantly, complements MARTA’s goal of promoting “a sustainable, affordable, and growing future for the people of Metro Atlanta.” 
The City of East Point has implemented the plan since its adoption in 2015.  The city has invested or is scheduled to invest close to $60,000,000 within the past three years.  This includes a new city hall and amphitheater, civic auditorium, the East Point PATH, Streetscape Projects, etc.  All required documentation is located within tab 30 of the application verifying third party capital investment within .5 miles of the Wagon Works Redevelopment.  
</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3487</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3827</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6550</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7063</v>
      </c>
      <c r="D1906" s="1818"/>
      <c r="G1906" s="2290"/>
      <c r="O1906" s="2164"/>
      <c r="P1906" s="2164"/>
      <c r="Q1906" s="1912"/>
    </row>
    <row r="1907" spans="1:24" s="2309" customFormat="1" ht="12.75" customHeight="1">
      <c r="B1907" s="2392" t="s">
        <v>1896</v>
      </c>
      <c r="C1907" s="2223" t="s">
        <v>6466</v>
      </c>
      <c r="D1907" s="2223"/>
      <c r="E1907" s="2223"/>
      <c r="F1907" s="2223"/>
      <c r="G1907" s="2223"/>
      <c r="H1907" s="2223"/>
      <c r="I1907" s="2223"/>
      <c r="J1907" s="2223"/>
      <c r="K1907" s="2223"/>
      <c r="L1907" s="2223"/>
      <c r="M1907" s="2257" t="s">
        <v>719</v>
      </c>
      <c r="N1907" s="2359" t="s">
        <v>1896</v>
      </c>
      <c r="O1907" s="2264">
        <f>'Part IX Scoring Criteria'!O188</f>
        <v>0</v>
      </c>
      <c r="P1907" s="2252"/>
      <c r="Q1907" s="2028"/>
      <c r="V1907" s="2415"/>
      <c r="W1907" s="2415"/>
    </row>
    <row r="1908" spans="1:24" s="1818" customFormat="1" ht="12.75" customHeight="1">
      <c r="A1908" s="2255"/>
      <c r="B1908" s="2392" t="s">
        <v>1898</v>
      </c>
      <c r="C1908" s="2121" t="s">
        <v>6467</v>
      </c>
      <c r="D1908" s="435"/>
      <c r="E1908" s="435"/>
      <c r="F1908" s="435"/>
      <c r="G1908" s="435"/>
      <c r="H1908" s="435"/>
      <c r="I1908" s="435"/>
      <c r="J1908" s="435"/>
      <c r="K1908" s="435"/>
      <c r="L1908" s="435"/>
      <c r="M1908" s="435"/>
      <c r="N1908" s="2359" t="s">
        <v>1898</v>
      </c>
      <c r="O1908" s="2230">
        <f>'Part IX Scoring Criteria'!O189</f>
        <v>0</v>
      </c>
      <c r="P1908" s="2164"/>
      <c r="Q1908" s="2105"/>
      <c r="V1908" s="2416"/>
      <c r="W1908" s="2416"/>
    </row>
    <row r="1909" spans="1:24" s="1818" customFormat="1" ht="22.5" customHeight="1">
      <c r="A1909" s="2255"/>
      <c r="B1909" s="2392" t="s">
        <v>2416</v>
      </c>
      <c r="C1909" s="2223" t="s">
        <v>6470</v>
      </c>
      <c r="D1909" s="2223"/>
      <c r="E1909" s="2223"/>
      <c r="F1909" s="2223"/>
      <c r="G1909" s="2223"/>
      <c r="H1909" s="2223"/>
      <c r="I1909" s="2223"/>
      <c r="J1909" s="2223"/>
      <c r="K1909" s="2223"/>
      <c r="L1909" s="2223"/>
      <c r="M1909" s="2223"/>
      <c r="N1909" s="2359" t="s">
        <v>2416</v>
      </c>
      <c r="O1909" s="2264">
        <f>'Part IX Scoring Criteria'!O190</f>
        <v>0</v>
      </c>
      <c r="P1909" s="2252"/>
      <c r="Q1909" s="2105"/>
      <c r="V1909" s="2416"/>
      <c r="W1909" s="2416"/>
    </row>
    <row r="1910" spans="1:24" s="1852" customFormat="1" ht="11.45" customHeight="1">
      <c r="A1910" s="2141" t="s">
        <v>2021</v>
      </c>
      <c r="B1910" s="1719" t="s">
        <v>6468</v>
      </c>
      <c r="D1910" s="1818"/>
      <c r="G1910" s="2290"/>
      <c r="O1910" s="2164"/>
      <c r="P1910" s="2164"/>
      <c r="Q1910" s="1912"/>
    </row>
    <row r="1911" spans="1:24" s="2309" customFormat="1" ht="23.25" customHeight="1">
      <c r="B1911" s="2392" t="s">
        <v>1896</v>
      </c>
      <c r="C1911" s="2223" t="s">
        <v>7064</v>
      </c>
      <c r="D1911" s="2223"/>
      <c r="E1911" s="2223"/>
      <c r="F1911" s="2223"/>
      <c r="G1911" s="2223"/>
      <c r="H1911" s="2223"/>
      <c r="I1911" s="2223"/>
      <c r="J1911" s="2223"/>
      <c r="K1911" s="2223"/>
      <c r="L1911" s="2223"/>
      <c r="M1911" s="2257" t="s">
        <v>2021</v>
      </c>
      <c r="N1911" s="2359" t="s">
        <v>1896</v>
      </c>
      <c r="O1911" s="2264">
        <f>'Part IX Scoring Criteria'!O192</f>
        <v>0</v>
      </c>
      <c r="P1911" s="2252"/>
      <c r="Q1911" s="2028"/>
      <c r="V1911" s="2415"/>
      <c r="W1911" s="2415"/>
    </row>
    <row r="1912" spans="1:24" s="1818" customFormat="1" ht="23.25" customHeight="1">
      <c r="A1912" s="2255"/>
      <c r="B1912" s="2392" t="s">
        <v>1898</v>
      </c>
      <c r="C1912" s="2223" t="s">
        <v>7065</v>
      </c>
      <c r="D1912" s="2223"/>
      <c r="E1912" s="2223"/>
      <c r="F1912" s="2223"/>
      <c r="G1912" s="2223"/>
      <c r="H1912" s="2223"/>
      <c r="I1912" s="2223"/>
      <c r="J1912" s="2223"/>
      <c r="K1912" s="2223"/>
      <c r="L1912" s="2223"/>
      <c r="M1912" s="435"/>
      <c r="N1912" s="2359" t="s">
        <v>1898</v>
      </c>
      <c r="O1912" s="2264">
        <f>'Part IX Scoring Criteria'!O193</f>
        <v>0</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3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0</v>
      </c>
      <c r="P1918" s="2192">
        <f>'Part IX Scoring Criteria'!P199</f>
        <v>0</v>
      </c>
      <c r="Q1918" s="2108" t="s">
        <v>422</v>
      </c>
      <c r="R1918" s="1858" t="s">
        <v>4264</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3988</v>
      </c>
      <c r="D1920" s="2156"/>
      <c r="E1920" s="2156"/>
      <c r="K1920" s="2418"/>
      <c r="M1920" s="2108">
        <v>5</v>
      </c>
      <c r="N1920" s="2255" t="s">
        <v>1893</v>
      </c>
      <c r="O1920" s="2371">
        <f>'Part IX Scoring Criteria'!O201</f>
        <v>0</v>
      </c>
      <c r="P1920" s="2192"/>
      <c r="Q1920" s="2282" t="str">
        <f>IF(O1920&lt;=M1920,"","*CHECK!*")</f>
        <v/>
      </c>
      <c r="R1920" s="1858" t="s">
        <v>4264</v>
      </c>
      <c r="S1920" s="2003"/>
      <c r="T1920" s="2003"/>
      <c r="U1920" s="2003"/>
    </row>
    <row r="1921" spans="1:22" ht="12.75" customHeight="1">
      <c r="B1921" s="2419"/>
      <c r="C1921" s="2160" t="s">
        <v>6552</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6553</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6472</v>
      </c>
      <c r="C1924" s="435"/>
      <c r="G1924" s="2055" t="s">
        <v>6534</v>
      </c>
      <c r="H1924" s="2253" t="str">
        <f>'Part IX Scoring Criteria'!H205</f>
        <v>&lt; Select &gt;</v>
      </c>
      <c r="K1924" s="2255"/>
      <c r="L1924" s="2255"/>
      <c r="M1924" s="2108">
        <v>5</v>
      </c>
      <c r="N1924" s="2255" t="s">
        <v>1895</v>
      </c>
      <c r="O1924" s="2371">
        <f>'Part IX Scoring Criteria'!O205</f>
        <v>0</v>
      </c>
      <c r="P1924" s="2192"/>
      <c r="Q1924" s="2282" t="str">
        <f>IF(O1924&lt;=M1924,"","*CHECK!*")</f>
        <v/>
      </c>
      <c r="R1924" s="1858" t="s">
        <v>4264</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6478</v>
      </c>
      <c r="E1926" s="2045"/>
      <c r="F1926" s="2428" t="s">
        <v>6477</v>
      </c>
      <c r="G1926" s="2428"/>
      <c r="H1926" s="2428"/>
      <c r="I1926" s="2428"/>
      <c r="J1926" s="2428"/>
      <c r="K1926" s="2428"/>
      <c r="L1926" s="2428"/>
      <c r="M1926" s="2045"/>
    </row>
    <row r="1927" spans="1:22" ht="13.5" customHeight="1">
      <c r="B1927" s="1926"/>
      <c r="C1927" s="2045"/>
      <c r="D1927" s="2160" t="s">
        <v>6475</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6476</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6473</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6474</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5.1" customHeight="1">
      <c r="A1934" s="2226" t="str">
        <f>'Part IX Scoring Criteria'!A215</f>
        <v>Not Applicable</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4238</v>
      </c>
      <c r="C1939" s="2112"/>
      <c r="G1939" s="1912" t="s">
        <v>6542</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6543</v>
      </c>
      <c r="D1940" s="435"/>
      <c r="E1940" s="435"/>
      <c r="F1940" s="2108"/>
      <c r="G1940" s="2164" t="s">
        <v>3274</v>
      </c>
      <c r="H1940" s="2261">
        <f>IF('Part VI-Revenues &amp; Expenses'!$P$67=0,0,'Part VI-Revenues &amp; Expenses'!$P$64/'Part VI-Revenues &amp; Expenses'!$P$67)</f>
        <v>0</v>
      </c>
      <c r="J1940" s="2290" t="s">
        <v>4161</v>
      </c>
      <c r="K1940" s="2262" t="str">
        <f>'Part I-Project Information'!$K$94</f>
        <v>Income Averaging</v>
      </c>
      <c r="L1940" s="2262"/>
      <c r="M1940" s="2164"/>
      <c r="N1940" s="2108"/>
      <c r="O1940" s="2051"/>
      <c r="P1940" s="2192"/>
    </row>
    <row r="1941" spans="1:24" s="1852" customFormat="1" ht="12" customHeight="1">
      <c r="A1941" s="2117" t="s">
        <v>1893</v>
      </c>
      <c r="B1941" s="2112" t="s">
        <v>4159</v>
      </c>
      <c r="C1941" s="2112"/>
      <c r="D1941" s="2112" t="s">
        <v>4160</v>
      </c>
      <c r="M1941" s="2108">
        <v>1</v>
      </c>
      <c r="N1941" s="2255" t="s">
        <v>1893</v>
      </c>
      <c r="O1941" s="2371">
        <f>'Part IX Scoring Criteria'!O222</f>
        <v>0</v>
      </c>
      <c r="P1941" s="2192"/>
      <c r="Q1941" s="2397" t="str">
        <f>IF(OR($O1941=$M1941,$O1941=0,$O1941=""),"","*CHECK!*")</f>
        <v/>
      </c>
      <c r="R1941" s="1858" t="s">
        <v>4264</v>
      </c>
    </row>
    <row r="1942" spans="1:24" s="1852" customFormat="1" ht="12" customHeight="1">
      <c r="A1942" s="2117" t="s">
        <v>1895</v>
      </c>
      <c r="B1942" s="2112" t="s">
        <v>3976</v>
      </c>
      <c r="C1942" s="2112"/>
      <c r="D1942" s="2112" t="s">
        <v>4243</v>
      </c>
      <c r="M1942" s="2051">
        <v>1</v>
      </c>
      <c r="N1942" s="2255" t="s">
        <v>1895</v>
      </c>
      <c r="O1942" s="2371">
        <f>'Part IX Scoring Criteria'!O223</f>
        <v>1</v>
      </c>
      <c r="P1942" s="2192"/>
      <c r="Q1942" s="2397" t="str">
        <f>IF(OR($O1942=$M1942,$O1942=0,$O1942=""),"","*CHECK!*")</f>
        <v/>
      </c>
      <c r="R1942" s="1858" t="s">
        <v>4264</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3488</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3397</v>
      </c>
      <c r="D1949" s="2228"/>
      <c r="E1949" s="2228"/>
      <c r="F1949" s="2228"/>
      <c r="G1949" s="2228"/>
      <c r="H1949" s="2228"/>
      <c r="L1949" s="2228"/>
      <c r="M1949" s="2127" t="str">
        <f>IF(OR(SUM(T1949:T1950)&gt;1,SUM(Q1949:Q1950)&gt;1),"Only one category can be met by other means!","")</f>
        <v/>
      </c>
      <c r="N1949" s="2255" t="s">
        <v>1893</v>
      </c>
      <c r="O1949" s="2230">
        <f>'Part IX Scoring Criteria'!O230</f>
        <v>0</v>
      </c>
      <c r="P1949" s="2164"/>
      <c r="Q1949" s="2055">
        <f>IF(L1949="Yes",1,0)</f>
        <v>0</v>
      </c>
      <c r="R1949" s="2003"/>
      <c r="S1949" s="2003"/>
      <c r="T1949" s="2003"/>
      <c r="U1949" s="2003"/>
      <c r="V1949" s="2003"/>
    </row>
    <row r="1950" spans="1:24" s="1852" customFormat="1" ht="11.25" customHeight="1">
      <c r="A1950" s="2117" t="s">
        <v>1895</v>
      </c>
      <c r="B1950" s="2228" t="s">
        <v>3398</v>
      </c>
      <c r="D1950" s="2228"/>
      <c r="L1950" s="2228"/>
      <c r="M1950" s="2127"/>
      <c r="N1950" s="2255" t="s">
        <v>1895</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5.1" customHeight="1">
      <c r="A1952" s="2226" t="str">
        <f>'Part IX Scoring Criteria'!A233</f>
        <v>Not Applicable</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4240</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4264</v>
      </c>
      <c r="S1956" s="1856"/>
      <c r="T1956" s="1856"/>
      <c r="U1956" s="1856"/>
      <c r="V1956" s="1856"/>
      <c r="W1956" s="1967"/>
      <c r="X1956" s="1967"/>
    </row>
    <row r="1957" spans="1:27" s="2112" customFormat="1" ht="11.25">
      <c r="A1957" s="2392"/>
      <c r="B1957" s="2223" t="s">
        <v>6554</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6555</v>
      </c>
      <c r="E1958" s="2121" t="s">
        <v>3453</v>
      </c>
      <c r="G1958" s="2230">
        <f>'Part IX Scoring Criteria'!G239</f>
        <v>0</v>
      </c>
      <c r="H1958" s="2255" t="s">
        <v>587</v>
      </c>
      <c r="I1958" s="2111">
        <f>'Part IX Scoring Criteria'!I239</f>
        <v>0</v>
      </c>
      <c r="J1958" s="2111"/>
      <c r="L1958" s="2433" t="s">
        <v>6557</v>
      </c>
      <c r="M1958" s="2434">
        <f>'Part IX Scoring Criteria'!M239</f>
        <v>0</v>
      </c>
      <c r="N1958" s="2434"/>
    </row>
    <row r="1959" spans="1:27" s="435" customFormat="1" ht="11.25" customHeight="1">
      <c r="A1959" s="2384"/>
      <c r="B1959" s="2392" t="s">
        <v>1898</v>
      </c>
      <c r="C1959" s="2160" t="s">
        <v>6556</v>
      </c>
      <c r="E1959" s="2121" t="s">
        <v>3453</v>
      </c>
      <c r="G1959" s="2230">
        <f>'Part IX Scoring Criteria'!G240</f>
        <v>0</v>
      </c>
      <c r="H1959" s="2255" t="s">
        <v>587</v>
      </c>
      <c r="I1959" s="2111">
        <f>'Part IX Scoring Criteria'!I240</f>
        <v>0</v>
      </c>
      <c r="J1959" s="2111"/>
      <c r="L1959" s="2433" t="s">
        <v>6557</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 xml:space="preserve">The project is not a phased development, therefore not applicable.  </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4162</v>
      </c>
      <c r="D1966" s="2379"/>
      <c r="E1966" s="2112" t="s">
        <v>6568</v>
      </c>
      <c r="G1966" s="2170"/>
      <c r="M1966" s="2108">
        <v>5</v>
      </c>
      <c r="N1966" s="2108"/>
      <c r="O1966" s="2192">
        <f>'Part IX Scoring Criteria'!O247</f>
        <v>3</v>
      </c>
      <c r="P1966" s="2192">
        <f>'Part IX Scoring Criteria'!P247</f>
        <v>0</v>
      </c>
      <c r="Q1966" s="2108" t="s">
        <v>422</v>
      </c>
      <c r="R1966" s="1858" t="s">
        <v>4264</v>
      </c>
      <c r="S1966" s="2435"/>
      <c r="T1966" s="2435"/>
      <c r="U1966" s="2435"/>
      <c r="V1966" s="2435"/>
      <c r="W1966" s="1967"/>
      <c r="X1966" s="1967"/>
    </row>
    <row r="1967" spans="1:27" s="1818" customFormat="1" ht="11.25" customHeight="1">
      <c r="A1967" s="2141" t="s">
        <v>1893</v>
      </c>
      <c r="B1967" s="1719" t="s">
        <v>7066</v>
      </c>
      <c r="M1967" s="2108">
        <v>5</v>
      </c>
      <c r="N1967" s="2255" t="s">
        <v>1893</v>
      </c>
      <c r="O1967" s="2371">
        <f>'Part IX Scoring Criteria'!O248</f>
        <v>0</v>
      </c>
      <c r="P1967" s="2192"/>
      <c r="Q1967" s="2397" t="str">
        <f>IF(OR($O1967=$M1967,$O1967=$M1967-1,$O1967=0,$O1967=""),"","*CHECK!*")</f>
        <v/>
      </c>
      <c r="R1967" s="1858" t="s">
        <v>4264</v>
      </c>
      <c r="S1967" s="2435"/>
      <c r="T1967" s="2435"/>
      <c r="U1967" s="2435"/>
      <c r="V1967" s="2435"/>
    </row>
    <row r="1968" spans="1:27" s="1818" customFormat="1" ht="11.25" customHeight="1">
      <c r="A1968" s="2141" t="s">
        <v>1895</v>
      </c>
      <c r="B1968" s="1719" t="s">
        <v>6569</v>
      </c>
      <c r="M1968" s="2108">
        <v>3</v>
      </c>
      <c r="N1968" s="2255" t="s">
        <v>1895</v>
      </c>
      <c r="O1968" s="2371">
        <f>'Part IX Scoring Criteria'!O249</f>
        <v>0</v>
      </c>
      <c r="P1968" s="2192"/>
      <c r="Q1968" s="2397" t="str">
        <f t="shared" ref="Q1968:Q1969" si="386">IF(OR($O1968=$M1968,$O1968=$M1968-1,$O1968=0,$O1968=""),"","*CHECK!*")</f>
        <v/>
      </c>
      <c r="R1968" s="1858" t="s">
        <v>4264</v>
      </c>
    </row>
    <row r="1969" spans="1:21" s="1852" customFormat="1">
      <c r="A1969" s="2141" t="s">
        <v>719</v>
      </c>
      <c r="B1969" s="1719" t="s">
        <v>6570</v>
      </c>
      <c r="E1969" s="2121" t="s">
        <v>6497</v>
      </c>
      <c r="I1969" s="2282"/>
      <c r="L1969" s="1818"/>
      <c r="M1969" s="2108">
        <v>3</v>
      </c>
      <c r="N1969" s="2255" t="s">
        <v>719</v>
      </c>
      <c r="O1969" s="2371">
        <f>'Part IX Scoring Criteria'!O250</f>
        <v>3</v>
      </c>
      <c r="P1969" s="2192"/>
      <c r="Q1969" s="2397" t="str">
        <f t="shared" si="386"/>
        <v/>
      </c>
      <c r="R1969" s="1858" t="s">
        <v>4264</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 xml:space="preserve">The project qualifies as a TOD therefore it qualifies for 3 points in the section. Please see the required documentation in Tab 35 of the application.  </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4265</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3991</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3992</v>
      </c>
      <c r="D1978" s="2170"/>
      <c r="E1978" s="2170"/>
      <c r="F1978" s="2244"/>
      <c r="G1978" s="1852"/>
      <c r="L1978" s="2366"/>
      <c r="M1978" s="2108">
        <v>2</v>
      </c>
      <c r="N1978" s="2384" t="s">
        <v>1898</v>
      </c>
      <c r="O1978" s="2230" t="str">
        <f>'Part IX Scoring Criteria'!O259</f>
        <v>N/a</v>
      </c>
      <c r="P1978" s="2164"/>
      <c r="Q1978" s="2397"/>
      <c r="R1978" s="1912"/>
      <c r="T1978" s="2436"/>
      <c r="U1978" s="2436"/>
    </row>
    <row r="1979" spans="1:21" s="2284" customFormat="1" ht="10.5" customHeight="1">
      <c r="A1979" s="2141"/>
      <c r="B1979" s="2392" t="s">
        <v>2416</v>
      </c>
      <c r="C1979" s="2121" t="s">
        <v>3993</v>
      </c>
      <c r="D1979" s="2170"/>
      <c r="E1979" s="2170"/>
      <c r="F1979" s="2244"/>
      <c r="G1979" s="1852"/>
      <c r="K1979" s="2255"/>
      <c r="M1979" s="2108">
        <v>1</v>
      </c>
      <c r="N1979" s="2384" t="s">
        <v>2416</v>
      </c>
      <c r="O1979" s="2230" t="str">
        <f>'Part IX Scoring Criteria'!O260</f>
        <v>N/a</v>
      </c>
      <c r="P1979" s="2164"/>
      <c r="R1979" s="1967"/>
      <c r="T1979" s="2436"/>
      <c r="U1979" s="2436"/>
    </row>
    <row r="1980" spans="1:21" s="2274" customFormat="1" ht="11.25" customHeight="1">
      <c r="A1980" s="2141" t="s">
        <v>1895</v>
      </c>
      <c r="B1980" s="1719" t="s">
        <v>4153</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4154</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3994</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7154</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6499</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3520</v>
      </c>
      <c r="B1988" s="2153" t="s">
        <v>3489</v>
      </c>
      <c r="C1988" s="2112"/>
      <c r="D1988" s="2112"/>
      <c r="E1988" s="435"/>
      <c r="G1988" s="2112"/>
      <c r="I1988" s="1912" t="s">
        <v>6542</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6500</v>
      </c>
      <c r="C1989" s="2228"/>
      <c r="D1989" s="2228"/>
      <c r="E1989" s="2228"/>
      <c r="F1989" s="2228"/>
      <c r="G1989" s="2228"/>
      <c r="H1989" s="2228"/>
      <c r="I1989" s="2228"/>
      <c r="J1989" s="2228"/>
      <c r="K1989" s="2228"/>
      <c r="L1989" s="2413"/>
      <c r="M1989" s="2108"/>
      <c r="N1989" s="2309"/>
      <c r="O1989" s="2230" t="str">
        <f>'Part IX Scoring Criteria'!O270</f>
        <v>No</v>
      </c>
      <c r="P1989" s="2164"/>
      <c r="Q1989" s="2108"/>
      <c r="T1989" s="2436"/>
      <c r="U1989" s="2436"/>
    </row>
    <row r="1990" spans="1:21" s="2274" customFormat="1" ht="12" customHeight="1">
      <c r="A1990" s="2141" t="s">
        <v>1893</v>
      </c>
      <c r="B1990" s="1719" t="s">
        <v>3490</v>
      </c>
      <c r="C1990" s="2112"/>
      <c r="D1990" s="2112"/>
      <c r="E1990" s="435"/>
      <c r="G1990" s="2168">
        <f>'Part VIII-Threshold Criteria'!I2051</f>
        <v>0</v>
      </c>
      <c r="I1990" s="2121" t="s">
        <v>4285</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4018</v>
      </c>
      <c r="D1991" s="1818"/>
      <c r="N1991" s="2384" t="s">
        <v>4019</v>
      </c>
      <c r="O1991" s="2230">
        <f>'Part IX Scoring Criteria'!O272</f>
        <v>0</v>
      </c>
      <c r="P1991" s="2164"/>
      <c r="R1991" s="2366"/>
    </row>
    <row r="1992" spans="1:21" s="2284" customFormat="1" ht="10.5" customHeight="1">
      <c r="A1992" s="2141"/>
      <c r="B1992" s="2384"/>
      <c r="C1992" s="435" t="s">
        <v>6501</v>
      </c>
      <c r="D1992" s="1818"/>
      <c r="N1992" s="2384" t="s">
        <v>4020</v>
      </c>
      <c r="O1992" s="2230">
        <f>'Part IX Scoring Criteria'!O273</f>
        <v>0</v>
      </c>
      <c r="P1992" s="2164"/>
      <c r="R1992" s="2366"/>
    </row>
    <row r="1993" spans="1:21" s="2284" customFormat="1" ht="10.5" customHeight="1">
      <c r="A1993" s="2141"/>
      <c r="B1993" s="2384" t="s">
        <v>1898</v>
      </c>
      <c r="C1993" s="435" t="s">
        <v>3496</v>
      </c>
      <c r="D1993" s="1818"/>
      <c r="N1993" s="2384" t="s">
        <v>1898</v>
      </c>
      <c r="O1993" s="2230">
        <f>'Part IX Scoring Criteria'!O274</f>
        <v>0</v>
      </c>
      <c r="P1993" s="2164"/>
      <c r="R1993" s="2366"/>
    </row>
    <row r="1994" spans="1:21" s="2284" customFormat="1" ht="10.5" customHeight="1">
      <c r="A1994" s="2141"/>
      <c r="B1994" s="2384" t="s">
        <v>2416</v>
      </c>
      <c r="C1994" s="435" t="s">
        <v>4021</v>
      </c>
      <c r="D1994" s="1818"/>
      <c r="N1994" s="2384" t="s">
        <v>2416</v>
      </c>
      <c r="O1994" s="2230">
        <f>'Part IX Scoring Criteria'!O275</f>
        <v>0</v>
      </c>
      <c r="P1994" s="2164"/>
      <c r="R1994" s="2366"/>
    </row>
    <row r="1995" spans="1:21" s="2284" customFormat="1" ht="10.5" customHeight="1">
      <c r="B1995" s="2384" t="s">
        <v>1178</v>
      </c>
      <c r="C1995" s="435" t="s">
        <v>3497</v>
      </c>
      <c r="D1995" s="1818"/>
      <c r="N1995" s="2384" t="s">
        <v>1178</v>
      </c>
      <c r="O1995" s="2230">
        <f>'Part IX Scoring Criteria'!O276</f>
        <v>0</v>
      </c>
      <c r="P1995" s="2164"/>
      <c r="R1995" s="2366"/>
    </row>
    <row r="1996" spans="1:21" s="2274" customFormat="1" ht="12" customHeight="1">
      <c r="A1996" s="2141" t="s">
        <v>1895</v>
      </c>
      <c r="B1996" s="1719" t="s">
        <v>3491</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4018</v>
      </c>
      <c r="D1997" s="435"/>
      <c r="E1997" s="435"/>
      <c r="M1997" s="2108"/>
      <c r="N1997" s="2384" t="s">
        <v>4019</v>
      </c>
      <c r="O1997" s="2230">
        <f>'Part IX Scoring Criteria'!O278</f>
        <v>0</v>
      </c>
      <c r="P1997" s="2164"/>
      <c r="Q1997" s="2108"/>
    </row>
    <row r="1998" spans="1:21" s="2284" customFormat="1" ht="10.5" customHeight="1">
      <c r="A1998" s="2141"/>
      <c r="B1998" s="2384"/>
      <c r="C1998" s="435" t="s">
        <v>6502</v>
      </c>
      <c r="D1998" s="1818"/>
      <c r="N1998" s="2384" t="s">
        <v>4020</v>
      </c>
      <c r="O1998" s="2230">
        <f>'Part IX Scoring Criteria'!O279</f>
        <v>0</v>
      </c>
      <c r="P1998" s="2164"/>
      <c r="R1998" s="2366"/>
    </row>
    <row r="1999" spans="1:21" s="2284" customFormat="1" ht="10.5" customHeight="1">
      <c r="A1999" s="2141"/>
      <c r="B1999" s="2384" t="s">
        <v>1898</v>
      </c>
      <c r="C1999" s="435" t="s">
        <v>3508</v>
      </c>
      <c r="D1999" s="1818"/>
      <c r="N1999" s="2384" t="s">
        <v>1898</v>
      </c>
      <c r="O1999" s="2230">
        <f>'Part IX Scoring Criteria'!O280</f>
        <v>0</v>
      </c>
      <c r="P1999" s="2164"/>
      <c r="R1999" s="2366"/>
    </row>
    <row r="2000" spans="1:21" s="2284" customFormat="1" ht="10.5" customHeight="1">
      <c r="B2000" s="2384" t="s">
        <v>2416</v>
      </c>
      <c r="C2000" s="435" t="s">
        <v>3497</v>
      </c>
      <c r="D2000" s="1818"/>
      <c r="N2000" s="2384" t="s">
        <v>2416</v>
      </c>
      <c r="O2000" s="2230">
        <f>'Part IX Scoring Criteria'!O281</f>
        <v>0</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3521</v>
      </c>
      <c r="B2005" s="2153" t="s">
        <v>1597</v>
      </c>
      <c r="D2005" s="2112"/>
      <c r="E2005" s="2112"/>
      <c r="G2005" s="435"/>
      <c r="M2005" s="2108">
        <v>2</v>
      </c>
      <c r="N2005" s="2437"/>
      <c r="O2005" s="2371">
        <f>'Part IX Scoring Criteria'!O286</f>
        <v>0</v>
      </c>
      <c r="P2005" s="2192"/>
      <c r="Q2005" s="2108" t="s">
        <v>422</v>
      </c>
      <c r="R2005" s="1907" t="s">
        <v>4264</v>
      </c>
      <c r="S2005" s="1907"/>
    </row>
    <row r="2006" spans="1:19" s="2274" customFormat="1" ht="11.25" customHeight="1">
      <c r="A2006" s="2141"/>
      <c r="B2006" s="2121" t="s">
        <v>3275</v>
      </c>
      <c r="D2006" s="2112"/>
      <c r="E2006" s="2112"/>
      <c r="G2006" s="435"/>
      <c r="I2006" s="2111" t="str">
        <f>'Part IX Scoring Criteria'!I287</f>
        <v>East Point</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1.1" customHeight="1">
      <c r="A2009" s="2226" t="str">
        <f>'Part IX Scoring Criteria'!A290</f>
        <v xml:space="preserve">East Point is a Freshman GICH Community Member.  Therefore Wagon Works does not qualify for these points.  </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3519</v>
      </c>
      <c r="B2013" s="2153" t="s">
        <v>3493</v>
      </c>
      <c r="D2013" s="2112"/>
      <c r="E2013" s="2112"/>
      <c r="F2013" s="435"/>
      <c r="G2013" s="435"/>
      <c r="H2013" s="435"/>
      <c r="M2013" s="2192">
        <v>4</v>
      </c>
      <c r="N2013" s="2108"/>
      <c r="O2013" s="2192">
        <f>'Part IX Scoring Criteria'!O294</f>
        <v>2</v>
      </c>
      <c r="P2013" s="2192">
        <f>'Part IX Scoring Criteria'!P294</f>
        <v>0</v>
      </c>
      <c r="Q2013" s="2108" t="s">
        <v>422</v>
      </c>
    </row>
    <row r="2014" spans="1:19" s="2274" customFormat="1" ht="10.5" customHeight="1">
      <c r="A2014" s="1818"/>
      <c r="B2014" s="2121" t="s">
        <v>7155</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3410</v>
      </c>
      <c r="L2016" s="2223"/>
      <c r="M2016" s="2223"/>
      <c r="N2016" s="2255" t="s">
        <v>2325</v>
      </c>
      <c r="O2016" s="2230" t="str">
        <f>'Part IX Scoring Criteria'!O297</f>
        <v>Yes</v>
      </c>
      <c r="P2016" s="2164"/>
      <c r="R2016" s="2223"/>
      <c r="S2016" s="2223"/>
    </row>
    <row r="2017" spans="1:20" s="2112" customFormat="1" ht="12.75" customHeight="1">
      <c r="B2017" s="2255" t="s">
        <v>2326</v>
      </c>
      <c r="C2017" s="435" t="s">
        <v>3409</v>
      </c>
      <c r="L2017" s="2223"/>
      <c r="M2017" s="2223"/>
      <c r="N2017" s="2255" t="s">
        <v>2326</v>
      </c>
      <c r="O2017" s="2230" t="str">
        <f>'Part IX Scoring Criteria'!O298</f>
        <v>N/a</v>
      </c>
      <c r="P2017" s="2164"/>
      <c r="R2017" s="2223"/>
      <c r="S2017" s="2223"/>
    </row>
    <row r="2018" spans="1:20" s="2112" customFormat="1" ht="33.75" customHeight="1">
      <c r="B2018" s="2224" t="s">
        <v>2327</v>
      </c>
      <c r="C2018" s="2223" t="s">
        <v>3995</v>
      </c>
      <c r="D2018" s="2223"/>
      <c r="E2018" s="2223"/>
      <c r="F2018" s="2223"/>
      <c r="G2018" s="2223"/>
      <c r="H2018" s="2223"/>
      <c r="I2018" s="2223"/>
      <c r="J2018" s="2223"/>
      <c r="K2018" s="2223"/>
      <c r="L2018" s="2223"/>
      <c r="M2018" s="2223"/>
      <c r="N2018" s="2224" t="s">
        <v>2327</v>
      </c>
      <c r="O2018" s="2264" t="str">
        <f>'Part IX Scoring Criteria'!O299</f>
        <v>N/a</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3494</v>
      </c>
      <c r="L2020" s="2366" t="str">
        <f>IF(O2020&lt;=M2020,"","* * Check Score! * *")</f>
        <v/>
      </c>
      <c r="M2020" s="2117">
        <v>3</v>
      </c>
      <c r="N2020" s="2255" t="s">
        <v>1893</v>
      </c>
      <c r="O2020" s="2371">
        <f>'Part IX Scoring Criteria'!O301</f>
        <v>2</v>
      </c>
      <c r="P2020" s="2192"/>
      <c r="Q2020" s="2397" t="str">
        <f>IF(O2020&lt;=M2020,"","*CHECK!*")</f>
        <v/>
      </c>
      <c r="R2020" s="1856" t="s">
        <v>4264</v>
      </c>
      <c r="S2020" s="1856"/>
      <c r="T2020" s="1907"/>
    </row>
    <row r="2021" spans="1:20" s="1852" customFormat="1" ht="12.75" customHeight="1">
      <c r="A2021" s="2417"/>
      <c r="B2021" s="2439" t="s">
        <v>1896</v>
      </c>
      <c r="C2021" s="2223" t="s">
        <v>3998</v>
      </c>
      <c r="D2021" s="2223"/>
      <c r="E2021" s="2223"/>
      <c r="F2021" s="2223"/>
      <c r="G2021" s="2223"/>
      <c r="H2021" s="2223"/>
      <c r="I2021" s="2223"/>
      <c r="R2021" s="1856"/>
      <c r="S2021" s="1856"/>
      <c r="T2021" s="1907"/>
    </row>
    <row r="2022" spans="1:20" s="1852" customFormat="1" ht="12.75" customHeight="1">
      <c r="A2022" s="2417"/>
      <c r="B2022" s="2392"/>
      <c r="C2022" s="2223" t="s">
        <v>3997</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3277</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4155</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1883652</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6503</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3276</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6847</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3278</v>
      </c>
      <c r="C2032" s="435" t="s">
        <v>4000</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6504</v>
      </c>
      <c r="C2033" s="435" t="s">
        <v>7156</v>
      </c>
      <c r="I2033" s="2255" t="s">
        <v>6504</v>
      </c>
      <c r="J2033" s="2182">
        <f>'Part IX Scoring Criteria'!J314</f>
        <v>0</v>
      </c>
      <c r="K2033" s="2182"/>
      <c r="L2033" s="2255" t="s">
        <v>6504</v>
      </c>
      <c r="M2033" s="2174"/>
      <c r="N2033" s="2174"/>
      <c r="O2033" s="2174"/>
      <c r="P2033" s="2174"/>
      <c r="R2033" s="2366"/>
    </row>
    <row r="2034" spans="1:22" s="1852" customFormat="1" ht="12.75" customHeight="1">
      <c r="B2034" s="2067" t="s">
        <v>7067</v>
      </c>
      <c r="H2034" s="2121" t="s">
        <v>2501</v>
      </c>
      <c r="J2034" s="2174">
        <f>SUM(J2023:K2033)</f>
        <v>1883652</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6507</v>
      </c>
      <c r="H2036" s="1852"/>
      <c r="I2036" s="1852"/>
      <c r="J2036" s="2174">
        <f>'Part VI-Revenues &amp; Expenses'!$P$67</f>
        <v>89</v>
      </c>
      <c r="K2036" s="2174"/>
      <c r="L2036" s="1864"/>
      <c r="M2036" s="1856"/>
      <c r="N2036" s="1856"/>
      <c r="O2036" s="2441"/>
      <c r="P2036" s="1856"/>
    </row>
    <row r="2037" spans="1:22" s="1852" customFormat="1" ht="13.5" customHeight="1">
      <c r="C2037" s="1864"/>
      <c r="D2037" s="1864"/>
      <c r="E2037" s="1864"/>
      <c r="F2037" s="2290" t="s">
        <v>6508</v>
      </c>
      <c r="J2037" s="2442">
        <f>J2034/J2036</f>
        <v>21164.629213483146</v>
      </c>
      <c r="K2037" s="2442"/>
      <c r="M2037" s="2442">
        <f>IF($J2036=0,0,$M2034/$J2036)</f>
        <v>0</v>
      </c>
      <c r="N2037" s="2442"/>
      <c r="O2037" s="2442"/>
      <c r="P2037" s="2442"/>
    </row>
    <row r="2038" spans="1:22" s="2274" customFormat="1" ht="12.75" customHeight="1">
      <c r="C2038" s="1864"/>
      <c r="D2038" s="1864"/>
      <c r="E2038" s="1864"/>
      <c r="F2038" s="2112" t="s">
        <v>6509</v>
      </c>
      <c r="I2038" s="1852"/>
      <c r="J2038" s="2149">
        <f>IF(L2015="", IF($J2037&gt;=30000, 3,IF($J2037&gt;=20000, 2,IF($J2037&gt;=10000,1,0))),0)</f>
        <v>2</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3279</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4264</v>
      </c>
      <c r="V2040" s="2436"/>
    </row>
    <row r="2041" spans="1:22" s="2274" customFormat="1" ht="22.5" customHeight="1">
      <c r="A2041" s="2141"/>
      <c r="B2041" s="2392" t="s">
        <v>1896</v>
      </c>
      <c r="C2041" s="2223" t="s">
        <v>3495</v>
      </c>
      <c r="D2041" s="2223"/>
      <c r="E2041" s="2223"/>
      <c r="F2041" s="2223"/>
      <c r="G2041" s="2223"/>
      <c r="H2041" s="2223"/>
      <c r="I2041" s="2223"/>
      <c r="J2041" s="2223"/>
      <c r="K2041" s="2223"/>
      <c r="L2041" s="2223"/>
      <c r="M2041" s="2223"/>
      <c r="N2041" s="2392" t="s">
        <v>1896</v>
      </c>
      <c r="O2041" s="2264" t="str">
        <f>'Part IX Scoring Criteria'!O322</f>
        <v>N/a</v>
      </c>
      <c r="P2041" s="2252"/>
      <c r="V2041" s="2436"/>
    </row>
    <row r="2042" spans="1:22" s="2274" customFormat="1" ht="12.75" customHeight="1">
      <c r="A2042" s="2141"/>
      <c r="B2042" s="2384" t="s">
        <v>1898</v>
      </c>
      <c r="C2042" s="435" t="s">
        <v>3404</v>
      </c>
      <c r="D2042" s="435"/>
      <c r="E2042" s="435"/>
      <c r="F2042" s="435"/>
      <c r="G2042" s="435"/>
      <c r="H2042" s="435"/>
      <c r="I2042" s="435"/>
      <c r="J2042" s="435"/>
      <c r="K2042" s="435"/>
      <c r="M2042" s="435"/>
      <c r="N2042" s="2384" t="s">
        <v>1898</v>
      </c>
      <c r="O2042" s="2264" t="str">
        <f>'Part IX Scoring Criteria'!O323</f>
        <v>N/a</v>
      </c>
      <c r="P2042" s="2164"/>
      <c r="V2042" s="2436"/>
    </row>
    <row r="2043" spans="1:22" s="1852" customFormat="1" ht="12.75" customHeight="1">
      <c r="B2043" s="2384" t="s">
        <v>2416</v>
      </c>
      <c r="C2043" s="2112" t="s">
        <v>4002</v>
      </c>
      <c r="N2043" s="2384" t="s">
        <v>2416</v>
      </c>
      <c r="O2043" s="2264" t="str">
        <f>'Part IX Scoring Criteria'!O324</f>
        <v>N/a</v>
      </c>
      <c r="P2043" s="2164"/>
    </row>
    <row r="2044" spans="1:22" s="1852" customFormat="1" ht="12" customHeight="1">
      <c r="B2044" s="2156" t="s">
        <v>3373</v>
      </c>
      <c r="N2044" s="2051"/>
      <c r="O2044" s="2051"/>
      <c r="P2044" s="2051"/>
    </row>
    <row r="2045" spans="1:22" s="2274" customFormat="1" ht="21.75" customHeight="1">
      <c r="A2045" s="2226" t="str">
        <f>'Part IX Scoring Criteria'!A326</f>
        <v xml:space="preserve">The project qualifies for Historic Tax Credit proceeds.  The applicant is waiting on the Georgia Part A and Part II from SHPO.  It is expected to be completed in early June prior to the July 22nd deadline for "Alternate Financing" referenced in the Q&amp;A.s from March 18, 2021.  Please find the Part 1 – Evaluation of Significance along with National Register of Historic Places Inventory-Nomination Form dated 7/11/1985 as reference to the Historic Structure of the Wagon Works.  </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3522</v>
      </c>
      <c r="B2049" s="2153" t="s">
        <v>2566</v>
      </c>
      <c r="D2049" s="2121"/>
      <c r="G2049" s="2170" t="s">
        <v>7141</v>
      </c>
      <c r="I2049" s="2044" t="s">
        <v>6542</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2</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Certified historic structure - contributing structure in NR Historic District</v>
      </c>
      <c r="E2051" s="2111"/>
      <c r="F2051" s="2111"/>
      <c r="G2051" s="2111"/>
      <c r="H2051" s="2111"/>
      <c r="I2051" s="2111"/>
      <c r="J2051" s="2223" t="s">
        <v>2630</v>
      </c>
      <c r="L2051" s="2200">
        <f>'Part III-Sources of Funds'!$I$53</f>
        <v>1883652</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4156</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4264</v>
      </c>
    </row>
    <row r="2054" spans="1:19" s="2391" customFormat="1" ht="12" customHeight="1">
      <c r="A2054" s="2309"/>
      <c r="B2054" s="435" t="s">
        <v>7157</v>
      </c>
      <c r="C2054" s="435"/>
      <c r="D2054" s="435"/>
      <c r="E2054" s="435"/>
      <c r="F2054" s="435"/>
      <c r="G2054" s="435"/>
      <c r="H2054" s="435"/>
      <c r="I2054" s="435"/>
      <c r="J2054" s="435"/>
      <c r="K2054" s="435"/>
      <c r="L2054" s="435"/>
      <c r="M2054" s="1905" t="s">
        <v>7158</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89</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7159</v>
      </c>
      <c r="B2060" s="2223" t="s">
        <v>4157</v>
      </c>
      <c r="C2060" s="2223"/>
      <c r="H2060" s="2223"/>
      <c r="M2060" s="2309">
        <v>2</v>
      </c>
      <c r="N2060" s="2224" t="s">
        <v>1895</v>
      </c>
      <c r="O2060" s="2371">
        <f>'Part IX Scoring Criteria'!O341</f>
        <v>2</v>
      </c>
      <c r="P2060" s="2371"/>
      <c r="Q2060" s="2397" t="str">
        <f>IF(OR($O2060=$M2060,$O2060=0,$O2060=""),"","*CHECK!*")</f>
        <v/>
      </c>
      <c r="R2060" s="1858" t="s">
        <v>4264</v>
      </c>
    </row>
    <row r="2061" spans="1:19" s="2391" customFormat="1" ht="11.25" customHeight="1">
      <c r="A2061" s="2445"/>
      <c r="B2061" s="2223" t="s">
        <v>7068</v>
      </c>
      <c r="C2061" s="2223"/>
      <c r="D2061" s="2223"/>
      <c r="E2061" s="2223"/>
      <c r="F2061" s="2223"/>
      <c r="G2061" s="2223"/>
      <c r="H2061" s="2223"/>
      <c r="I2061" s="2223"/>
      <c r="J2061" s="2223"/>
      <c r="K2061" s="2223"/>
      <c r="L2061" s="2223"/>
      <c r="M2061" s="1967" t="s">
        <v>4003</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89</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 xml:space="preserve">The White Hickory Wagon Manufacturing Company (Wagon Works) was one of the earliest buildings constructed in East Point, Georgia.  Constructed in 1884 and located on East Cleveland Avenue, it is comprised of several attached one and two-story brick structures.  Wagon Works is located within the East Point Industrial Historic District in downtown East Point along with four other historic complexes including the Buggy Works, Couch Brothers Cotton Mills, Atlanta Utility Works, and the Oak Knitting Mill Buildings.  
The White Hickory Wagon Manufacturing Company, which began operation in 1884, produced wagons until the 1920’s when motorized farm vehicles replaced the wagon as the primary farm vehicle.  The company supplied wagons to much of the southeast for about forty years.  After White Hickory went out of business the Wagon Works building became owned by the O’Neill Brothers Cotton Linters &amp; Waste Textile Company from 1960 to 1984.  A group of investors purchased the Wagon Works building within the last decade and remodeled it into office and retail space.  The Covid-19 Pandemic was detrimental to the operations of the building as companies moved to a work from home model and retail companies went out of businesses.
Please find the Part 1 – Evaluation of Significance along with National Register of Historic Places Inventory-Nomination Form dated 7/11/1985 as reference to the Historic Structure of the Wagon Works.  </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3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3523</v>
      </c>
      <c r="B2069" s="2153" t="s">
        <v>4239</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3526</v>
      </c>
      <c r="B2077" s="2153" t="s">
        <v>6512</v>
      </c>
      <c r="C2077" s="2228"/>
      <c r="D2077" s="2228"/>
      <c r="E2077" s="2228"/>
      <c r="F2077" s="2228"/>
      <c r="G2077" s="2170" t="s">
        <v>7141</v>
      </c>
      <c r="H2077" s="2228"/>
      <c r="I2077" s="2121" t="s">
        <v>3986</v>
      </c>
      <c r="J2077" s="2121" t="str">
        <f>'Part I-Project Information'!$H$77</f>
        <v>Family</v>
      </c>
      <c r="K2077" s="2228"/>
      <c r="L2077" s="2228"/>
      <c r="M2077" s="2108">
        <v>2</v>
      </c>
      <c r="N2077" s="2309"/>
      <c r="O2077" s="2371">
        <f>'Part IX Scoring Criteria'!O358</f>
        <v>2</v>
      </c>
      <c r="P2077" s="2192"/>
      <c r="Q2077" s="2108" t="s">
        <v>422</v>
      </c>
      <c r="R2077" s="1858" t="s">
        <v>2554</v>
      </c>
    </row>
    <row r="2078" spans="1:18" s="2274" customFormat="1" ht="12" customHeight="1">
      <c r="A2078" s="2141" t="s">
        <v>1893</v>
      </c>
      <c r="B2078" s="1719" t="s">
        <v>6515</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3827</v>
      </c>
      <c r="C2079" s="2228"/>
      <c r="D2079" s="2228"/>
      <c r="E2079" s="2228"/>
      <c r="F2079" s="2228"/>
      <c r="G2079" s="2228"/>
      <c r="H2079" s="2228"/>
      <c r="I2079" s="2228"/>
      <c r="J2079" s="2228"/>
      <c r="K2079" s="2228"/>
      <c r="L2079" s="2413"/>
      <c r="M2079" s="2108"/>
      <c r="N2079" s="2309"/>
      <c r="O2079" s="2230" t="str">
        <f>'Part IX Scoring Criteria'!O360</f>
        <v>Yes</v>
      </c>
      <c r="P2079" s="2164"/>
      <c r="Q2079" s="2108"/>
    </row>
    <row r="2080" spans="1:18" s="2284" customFormat="1" ht="11.25" customHeight="1">
      <c r="A2080" s="2306"/>
      <c r="B2080" s="2121" t="s">
        <v>6518</v>
      </c>
      <c r="D2080" s="2121" t="s">
        <v>6558</v>
      </c>
      <c r="E2080" s="2121"/>
      <c r="F2080" s="2121"/>
      <c r="G2080" s="2121"/>
      <c r="H2080" s="2121"/>
      <c r="K2080" s="2121"/>
      <c r="L2080" s="2121"/>
      <c r="N2080" s="2108"/>
      <c r="O2080" s="435" t="s">
        <v>4262</v>
      </c>
      <c r="P2080" s="435"/>
      <c r="Q2080" s="2108"/>
    </row>
    <row r="2081" spans="1:23" s="2274" customFormat="1" ht="10.5" customHeight="1">
      <c r="A2081" s="2373"/>
      <c r="B2081" s="2270" t="s">
        <v>2324</v>
      </c>
      <c r="C2081" s="2112" t="s">
        <v>6513</v>
      </c>
      <c r="N2081" s="2270" t="s">
        <v>2324</v>
      </c>
      <c r="O2081" s="2446" t="str">
        <f>'Part IX Scoring Criteria'!O362</f>
        <v>Agree</v>
      </c>
      <c r="P2081" s="2372"/>
    </row>
    <row r="2082" spans="1:23" s="2391" customFormat="1" ht="21.75" customHeight="1">
      <c r="A2082" s="2257"/>
      <c r="B2082" s="2224" t="s">
        <v>2325</v>
      </c>
      <c r="C2082" s="2223" t="s">
        <v>6514</v>
      </c>
      <c r="D2082" s="2223"/>
      <c r="E2082" s="2223"/>
      <c r="F2082" s="2223"/>
      <c r="G2082" s="2223"/>
      <c r="H2082" s="2223"/>
      <c r="I2082" s="2223"/>
      <c r="J2082" s="2223"/>
      <c r="K2082" s="2223"/>
      <c r="L2082" s="2223"/>
      <c r="M2082" s="2223"/>
      <c r="N2082" s="2224" t="s">
        <v>2325</v>
      </c>
      <c r="O2082" s="2447" t="str">
        <f>'Part IX Scoring Criteria'!O363</f>
        <v>Agree</v>
      </c>
      <c r="P2082" s="2028"/>
    </row>
    <row r="2083" spans="1:23" s="2391" customFormat="1" ht="21.75" customHeight="1">
      <c r="A2083" s="2257"/>
      <c r="B2083" s="2224" t="s">
        <v>2326</v>
      </c>
      <c r="C2083" s="2223" t="s">
        <v>6516</v>
      </c>
      <c r="D2083" s="2223"/>
      <c r="E2083" s="2223"/>
      <c r="F2083" s="2223"/>
      <c r="G2083" s="2223"/>
      <c r="H2083" s="2223"/>
      <c r="I2083" s="2223"/>
      <c r="J2083" s="2223"/>
      <c r="K2083" s="2223"/>
      <c r="L2083" s="2223"/>
      <c r="M2083" s="2223"/>
      <c r="N2083" s="2224" t="s">
        <v>2326</v>
      </c>
      <c r="O2083" s="2447" t="str">
        <f>'Part IX Scoring Criteria'!O364</f>
        <v>Agree</v>
      </c>
      <c r="P2083" s="2028"/>
    </row>
    <row r="2084" spans="1:23" s="2284" customFormat="1" ht="11.25" customHeight="1">
      <c r="B2084" s="2255" t="s">
        <v>2327</v>
      </c>
      <c r="C2084" s="435" t="s">
        <v>6517</v>
      </c>
      <c r="N2084" s="2255" t="s">
        <v>2327</v>
      </c>
      <c r="O2084" s="2136" t="str">
        <f>'Part IX Scoring Criteria'!O365</f>
        <v>Agree</v>
      </c>
      <c r="P2084" s="2044"/>
    </row>
    <row r="2085" spans="1:23" s="2284" customFormat="1" ht="11.25" customHeight="1">
      <c r="A2085" s="2306"/>
      <c r="B2085" s="2121" t="s">
        <v>6519</v>
      </c>
      <c r="D2085" s="2121"/>
      <c r="E2085" s="2121"/>
      <c r="F2085" s="2121"/>
      <c r="G2085" s="2121"/>
      <c r="H2085" s="2121" t="s">
        <v>6558</v>
      </c>
      <c r="K2085" s="2121"/>
      <c r="L2085" s="2121"/>
      <c r="M2085" s="2108"/>
      <c r="N2085" s="2108"/>
      <c r="O2085" s="2112" t="s">
        <v>4262</v>
      </c>
      <c r="P2085" s="2112"/>
      <c r="Q2085" s="2108"/>
    </row>
    <row r="2086" spans="1:23" s="2274" customFormat="1" ht="12.75" customHeight="1">
      <c r="A2086" s="2373"/>
      <c r="B2086" s="2270" t="s">
        <v>2324</v>
      </c>
      <c r="C2086" s="2298" t="s">
        <v>6520</v>
      </c>
      <c r="D2086" s="2298"/>
      <c r="E2086" s="2298"/>
      <c r="F2086" s="2298"/>
      <c r="G2086" s="2298"/>
      <c r="H2086" s="2298"/>
      <c r="I2086" s="2298"/>
      <c r="J2086" s="2298"/>
      <c r="K2086" s="2298"/>
      <c r="L2086" s="2298"/>
      <c r="N2086" s="2270" t="s">
        <v>2324</v>
      </c>
      <c r="O2086" s="2446" t="str">
        <f>'Part IX Scoring Criteria'!O367</f>
        <v>Agree</v>
      </c>
      <c r="P2086" s="2372"/>
    </row>
    <row r="2087" spans="1:23" s="2274" customFormat="1" ht="12.75" customHeight="1">
      <c r="A2087" s="2373"/>
      <c r="B2087" s="2270" t="s">
        <v>2325</v>
      </c>
      <c r="C2087" s="2298" t="s">
        <v>6521</v>
      </c>
      <c r="D2087" s="2298"/>
      <c r="E2087" s="2298"/>
      <c r="F2087" s="2298"/>
      <c r="G2087" s="2298"/>
      <c r="H2087" s="2298"/>
      <c r="I2087" s="2298"/>
      <c r="J2087" s="2298"/>
      <c r="K2087" s="2298"/>
      <c r="L2087" s="2298"/>
      <c r="M2087" s="2112"/>
      <c r="N2087" s="2270" t="s">
        <v>2325</v>
      </c>
      <c r="O2087" s="2446" t="str">
        <f>'Part IX Scoring Criteria'!O368</f>
        <v>Agree</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6522</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6558</v>
      </c>
      <c r="C2090" s="2255"/>
      <c r="D2090" s="2255"/>
      <c r="E2090" s="2255"/>
      <c r="F2090" s="2255"/>
      <c r="J2090" s="2223"/>
      <c r="K2090" s="2223"/>
      <c r="L2090" s="2223"/>
      <c r="N2090" s="2051"/>
      <c r="O2090" s="2112" t="s">
        <v>4262</v>
      </c>
      <c r="P2090" s="2112"/>
      <c r="Q2090" s="1912"/>
      <c r="R2090" s="2274"/>
      <c r="S2090" s="2274"/>
      <c r="T2090" s="2274"/>
      <c r="U2090" s="2274"/>
    </row>
    <row r="2091" spans="1:23" s="2391" customFormat="1" ht="11.25" customHeight="1">
      <c r="A2091" s="2448"/>
      <c r="B2091" s="2392" t="s">
        <v>1896</v>
      </c>
      <c r="C2091" s="2449" t="s">
        <v>6559</v>
      </c>
      <c r="D2091" s="2449"/>
      <c r="E2091" s="2449"/>
      <c r="F2091" s="2449"/>
      <c r="G2091" s="2449"/>
      <c r="H2091" s="2449"/>
      <c r="I2091" s="2449"/>
      <c r="J2091" s="2449"/>
      <c r="K2091" s="2449"/>
      <c r="L2091" s="2449"/>
      <c r="M2091" s="2449"/>
      <c r="N2091" s="2359" t="s">
        <v>1896</v>
      </c>
      <c r="O2091" s="2447" t="str">
        <f>'Part IX Scoring Criteria'!O372</f>
        <v>N/a</v>
      </c>
      <c r="P2091" s="2028"/>
      <c r="Q2091" s="2309"/>
    </row>
    <row r="2092" spans="1:23" s="2284" customFormat="1" ht="11.25" customHeight="1">
      <c r="A2092" s="2306"/>
      <c r="B2092" s="2392" t="s">
        <v>1898</v>
      </c>
      <c r="C2092" s="2449" t="s">
        <v>6560</v>
      </c>
      <c r="D2092" s="2449"/>
      <c r="E2092" s="2449"/>
      <c r="F2092" s="2449"/>
      <c r="G2092" s="2449"/>
      <c r="H2092" s="2449"/>
      <c r="I2092" s="2449"/>
      <c r="J2092" s="2449"/>
      <c r="K2092" s="2449"/>
      <c r="L2092" s="2449"/>
      <c r="M2092" s="2449"/>
      <c r="N2092" s="2359" t="s">
        <v>1898</v>
      </c>
      <c r="O2092" s="2447" t="str">
        <f>'Part IX Scoring Criteria'!O373</f>
        <v>N/a</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Not Applicable</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3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3527</v>
      </c>
      <c r="B2098" s="2153" t="s">
        <v>6524</v>
      </c>
      <c r="D2098" s="2156"/>
      <c r="E2098" s="2156"/>
      <c r="F2098" s="435"/>
      <c r="M2098" s="2108">
        <v>6</v>
      </c>
      <c r="N2098" s="2108"/>
      <c r="O2098" s="2371">
        <f>'Part IX Scoring Criteria'!O379</f>
        <v>0</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1.1"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3528</v>
      </c>
      <c r="B2102" s="2153" t="s">
        <v>6525</v>
      </c>
      <c r="D2102" s="2156"/>
      <c r="E2102" s="2156"/>
      <c r="F2102" s="435"/>
      <c r="G2102" s="435"/>
      <c r="M2102" s="2108">
        <v>6</v>
      </c>
      <c r="N2102" s="2108"/>
      <c r="O2102" s="2371">
        <f>'Part IX Scoring Criteria'!O383</f>
        <v>0</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1.1"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3529</v>
      </c>
      <c r="B2106" s="2153" t="s">
        <v>6526</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1.1"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3530</v>
      </c>
      <c r="B2110" s="2153" t="s">
        <v>6527</v>
      </c>
      <c r="D2110" s="2156"/>
      <c r="M2110" s="2108">
        <v>6</v>
      </c>
      <c r="N2110" s="2108"/>
      <c r="O2110" s="2371">
        <f>'Part IX Scoring Criteria'!O391</f>
        <v>0</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1.1"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3531</v>
      </c>
      <c r="B2114" s="2153" t="s">
        <v>6848</v>
      </c>
      <c r="C2114" s="2112"/>
      <c r="D2114" s="2112"/>
      <c r="E2114" s="435"/>
      <c r="G2114" s="2112"/>
      <c r="I2114" s="1967" t="s">
        <v>6530</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69.5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7069</v>
      </c>
      <c r="B2122" s="2156"/>
      <c r="C2122" s="2156"/>
      <c r="D2122" s="2156"/>
      <c r="E2122" s="2156"/>
      <c r="F2122" s="2156"/>
      <c r="G2122" s="2156"/>
      <c r="H2122" s="2156"/>
      <c r="I2122" s="2156"/>
      <c r="J2122" s="2156"/>
      <c r="K2122" s="2156"/>
      <c r="L2122" s="2156"/>
      <c r="M2122" s="2156"/>
      <c r="N2122" s="2156"/>
      <c r="O2122" s="2156"/>
      <c r="P2122" s="2156"/>
    </row>
    <row r="2123" spans="1:18" s="2274" customFormat="1" ht="409.35" customHeight="1">
      <c r="A2123" s="2226" t="str">
        <f>'Part IX Scoring Criteria'!A404</f>
        <v>Though not required, Wagon Works, received a Resolution of Support from the City Council of East Point.  The resolution is included in the application in Tab 47.</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4167</v>
      </c>
      <c r="B2128" s="2453"/>
      <c r="C2128" s="2453"/>
      <c r="D2128" s="2453"/>
      <c r="E2128" s="2453"/>
      <c r="F2128" s="2453"/>
      <c r="G2128" s="2453"/>
      <c r="H2128" s="2453"/>
    </row>
    <row r="2129" spans="1:11" s="2454" customFormat="1" ht="18.75">
      <c r="A2129" s="2453" t="s">
        <v>4168</v>
      </c>
      <c r="B2129" s="2453"/>
      <c r="C2129" s="2453"/>
      <c r="D2129" s="2453"/>
      <c r="E2129" s="2453"/>
      <c r="F2129" s="2453"/>
      <c r="G2129" s="2453"/>
      <c r="H2129" s="2453"/>
    </row>
    <row r="2130" spans="1:11" s="2454" customFormat="1" ht="15" customHeight="1">
      <c r="A2130" s="2455" t="s">
        <v>4169</v>
      </c>
      <c r="B2130" s="2456"/>
      <c r="C2130" s="2456"/>
      <c r="D2130" s="2457">
        <f>'Part I-Project Information'!F2114</f>
        <v>0</v>
      </c>
      <c r="E2130" s="2457"/>
      <c r="F2130" s="2457"/>
      <c r="G2130" s="2457"/>
      <c r="H2130" s="2457"/>
      <c r="I2130" s="2457"/>
      <c r="J2130" s="2458" t="s">
        <v>6420</v>
      </c>
      <c r="K2130" s="2458"/>
    </row>
    <row r="2131" spans="1:11" s="2454" customFormat="1" ht="15" customHeight="1">
      <c r="A2131" s="2455" t="s">
        <v>4170</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4211</v>
      </c>
      <c r="K2131" s="2458"/>
    </row>
    <row r="2132" spans="1:11" s="2454" customFormat="1" ht="15" customHeight="1">
      <c r="A2132" s="2455" t="s">
        <v>4171</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4173</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4174</v>
      </c>
      <c r="E2135" s="2456"/>
      <c r="F2135" s="2456"/>
      <c r="G2135" s="2456"/>
      <c r="H2135" s="2456"/>
      <c r="I2135" s="2456"/>
      <c r="J2135" s="2461">
        <f>'Part X - HOME NHTF Unit Calcs'!J8</f>
        <v>0</v>
      </c>
      <c r="K2135" s="2461"/>
    </row>
    <row r="2136" spans="1:11" s="2454" customFormat="1" ht="7.35" customHeight="1">
      <c r="A2136" s="2456"/>
      <c r="B2136" s="2456"/>
      <c r="C2136" s="2456"/>
      <c r="D2136" s="2456"/>
      <c r="E2136" s="2456"/>
      <c r="F2136" s="2456"/>
      <c r="G2136" s="2456"/>
      <c r="H2136" s="2456"/>
      <c r="I2136" s="2456"/>
      <c r="J2136" s="2456"/>
      <c r="K2136" s="2462"/>
    </row>
    <row r="2137" spans="1:11" s="2454" customFormat="1" ht="16.5">
      <c r="A2137" s="2456" t="s">
        <v>4175</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4176</v>
      </c>
      <c r="E2138" s="2456"/>
      <c r="F2138" s="2456"/>
      <c r="G2138" s="2456"/>
      <c r="H2138" s="2456"/>
      <c r="I2138" s="2456"/>
      <c r="J2138" s="2461">
        <f>'Part X - HOME NHTF Unit Calcs'!J11</f>
        <v>0</v>
      </c>
      <c r="K2138" s="2461"/>
    </row>
    <row r="2139" spans="1:11" s="2454" customFormat="1" ht="7.35" customHeight="1">
      <c r="A2139" s="2456"/>
      <c r="B2139" s="2456"/>
      <c r="C2139" s="2456"/>
      <c r="D2139" s="2456"/>
      <c r="E2139" s="2456"/>
      <c r="F2139" s="2456"/>
      <c r="G2139" s="2456"/>
      <c r="H2139" s="2456"/>
      <c r="I2139" s="2456"/>
      <c r="J2139" s="2456"/>
      <c r="K2139" s="2460"/>
    </row>
    <row r="2140" spans="1:11" s="2454" customFormat="1" ht="16.5">
      <c r="A2140" s="2456" t="s">
        <v>4177</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4178</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4179</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4180</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4181</v>
      </c>
      <c r="E2144" s="2456"/>
      <c r="F2144" s="2456"/>
      <c r="G2144" s="2456"/>
      <c r="H2144" s="2456"/>
      <c r="I2144" s="2456"/>
      <c r="J2144" s="2461">
        <f>'Part X - HOME NHTF Unit Calcs'!J17</f>
        <v>0</v>
      </c>
      <c r="K2144" s="2461"/>
    </row>
    <row r="2145" spans="1:13" s="2454" customFormat="1" ht="7.3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4182</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4183</v>
      </c>
      <c r="E2147" s="2456"/>
      <c r="F2147" s="2456"/>
      <c r="G2147" s="2456"/>
      <c r="H2147" s="2456"/>
      <c r="I2147" s="2456"/>
      <c r="J2147" s="2463" t="e">
        <f>ROUNDDOWN(J2146/J2135,2)</f>
        <v>#VALUE!</v>
      </c>
      <c r="K2147" s="2463"/>
    </row>
    <row r="2148" spans="1:13" s="2454" customFormat="1" ht="7.3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4184</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4185</v>
      </c>
      <c r="C2151" s="2466"/>
      <c r="D2151" s="2466"/>
      <c r="E2151" s="2466"/>
      <c r="F2151" s="2466"/>
      <c r="G2151" s="2466"/>
      <c r="H2151" s="2466"/>
      <c r="I2151" s="2466"/>
      <c r="J2151" s="2466"/>
      <c r="K2151" s="2467"/>
    </row>
    <row r="2152" spans="1:13" s="2454" customFormat="1" ht="14.25" customHeight="1">
      <c r="A2152" s="2469" t="s">
        <v>7160</v>
      </c>
      <c r="C2152" s="2466"/>
      <c r="D2152" s="2466"/>
      <c r="E2152" s="2466"/>
      <c r="F2152" s="2466"/>
      <c r="G2152" s="2466"/>
      <c r="H2152" s="2466"/>
      <c r="I2152" s="2466"/>
      <c r="J2152" s="2466"/>
      <c r="K2152" s="2467"/>
    </row>
    <row r="2153" spans="1:13" s="2454" customFormat="1" ht="14.25" customHeight="1">
      <c r="A2153" s="2469" t="s">
        <v>7161</v>
      </c>
      <c r="C2153" s="2466"/>
      <c r="D2153" s="2466"/>
      <c r="E2153" s="2466"/>
      <c r="F2153" s="2466"/>
      <c r="G2153" s="2466"/>
      <c r="H2153" s="2466"/>
      <c r="I2153" s="2466"/>
      <c r="J2153" s="2466"/>
      <c r="K2153" s="2467"/>
    </row>
    <row r="2154" spans="1:13" s="2454" customFormat="1" ht="14.25" customHeight="1">
      <c r="A2154" s="2469" t="s">
        <v>7162</v>
      </c>
      <c r="C2154" s="2466"/>
      <c r="D2154" s="2466"/>
      <c r="E2154" s="2466"/>
      <c r="F2154" s="2466"/>
      <c r="G2154" s="2466"/>
      <c r="H2154" s="2466"/>
      <c r="I2154" s="2466"/>
      <c r="J2154" s="2466"/>
      <c r="K2154" s="2467"/>
    </row>
    <row r="2155" spans="1:13" s="2454" customFormat="1" ht="14.25" customHeight="1">
      <c r="A2155" s="2469" t="s">
        <v>7163</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4215</v>
      </c>
      <c r="B2157" s="2458"/>
      <c r="C2157" s="2458"/>
      <c r="D2157" s="2458"/>
      <c r="E2157" s="2458"/>
      <c r="F2157" s="2458"/>
      <c r="G2157" s="2458"/>
      <c r="H2157" s="2458"/>
      <c r="I2157" s="2458"/>
      <c r="J2157" s="2458"/>
      <c r="K2157" s="2458"/>
    </row>
    <row r="2158" spans="1:13" s="2454" customFormat="1" ht="16.5">
      <c r="B2158" s="2458" t="s">
        <v>6420</v>
      </c>
      <c r="C2158" s="2458"/>
      <c r="D2158" s="2458"/>
      <c r="E2158" s="2458"/>
      <c r="F2158" s="2458"/>
      <c r="G2158" s="2458" t="s">
        <v>4186</v>
      </c>
      <c r="H2158" s="2458"/>
      <c r="I2158" s="2458"/>
      <c r="J2158" s="2458"/>
      <c r="K2158" s="2458"/>
    </row>
    <row r="2159" spans="1:13" s="2454" customFormat="1" ht="56.25" customHeight="1">
      <c r="B2159" s="2465" t="s">
        <v>7164</v>
      </c>
      <c r="C2159" s="2465" t="s">
        <v>7165</v>
      </c>
      <c r="D2159" s="2465" t="s">
        <v>7166</v>
      </c>
      <c r="E2159" s="2470" t="s">
        <v>6312</v>
      </c>
      <c r="F2159" s="2470"/>
      <c r="G2159" s="2465" t="s">
        <v>4187</v>
      </c>
      <c r="H2159" s="2465" t="s">
        <v>4188</v>
      </c>
      <c r="J2159" s="2465" t="s">
        <v>4189</v>
      </c>
      <c r="K2159" s="2465" t="s">
        <v>4190</v>
      </c>
      <c r="L2159" s="2471" t="s">
        <v>4191</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4192</v>
      </c>
      <c r="H2179" s="2482" t="e">
        <f>SUM(H2160:H2178)</f>
        <v>#VALUE!</v>
      </c>
      <c r="I2179" s="2456"/>
      <c r="J2179" s="2480" t="s">
        <v>4193</v>
      </c>
      <c r="K2179" s="2462" t="e">
        <f>SUM(K2160:K2178)</f>
        <v>#VALUE!</v>
      </c>
      <c r="L2179" s="2471"/>
      <c r="M2179" s="2471"/>
    </row>
    <row r="2180" spans="1:13" s="2454" customFormat="1" ht="15" customHeight="1">
      <c r="B2180" s="2480"/>
      <c r="C2180" s="2456" t="s">
        <v>4194</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4195</v>
      </c>
      <c r="D2181" s="2456"/>
      <c r="E2181" s="2456"/>
      <c r="F2181" s="2456"/>
      <c r="G2181" s="2456"/>
      <c r="H2181" s="2456"/>
      <c r="I2181" s="2456"/>
      <c r="J2181" s="2456"/>
      <c r="K2181" s="2462" t="e">
        <f>K2179+K2180</f>
        <v>#VALUE!</v>
      </c>
    </row>
    <row r="2182" spans="1:13" s="2454" customFormat="1" ht="8.1" customHeight="1"/>
    <row r="2183" spans="1:13" s="2454" customFormat="1" ht="15" customHeight="1">
      <c r="A2183" s="2454" t="s">
        <v>4196</v>
      </c>
    </row>
    <row r="2184" spans="1:13" s="2454" customFormat="1" ht="48" customHeight="1">
      <c r="C2184" s="2465" t="s">
        <v>4197</v>
      </c>
      <c r="D2184" s="2465" t="s">
        <v>6272</v>
      </c>
      <c r="E2184" s="2454" t="s">
        <v>4213</v>
      </c>
      <c r="G2184" s="2470" t="s">
        <v>4198</v>
      </c>
      <c r="H2184" s="2470"/>
      <c r="I2184" s="2454" t="s">
        <v>4212</v>
      </c>
    </row>
    <row r="2185" spans="1:13" s="2454" customFormat="1" ht="15" customHeight="1">
      <c r="A2185" s="2465"/>
      <c r="C2185" s="2483" t="e">
        <f>SUMIF(C2160:C2178, "0", H2160:H2178)</f>
        <v>#VALUE!</v>
      </c>
      <c r="D2185" s="2465" t="e">
        <f t="shared" ref="D2185:D2190" si="389">ROUNDUP(C2185*1.1,0)</f>
        <v>#VALUE!</v>
      </c>
      <c r="E2185" s="2456" t="s">
        <v>4199</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4200</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4201</v>
      </c>
      <c r="F2190" s="2456"/>
      <c r="G2190" s="2484">
        <v>303489.59999999998</v>
      </c>
      <c r="H2190" s="2484"/>
      <c r="I2190" s="2485">
        <f t="shared" si="390"/>
        <v>0</v>
      </c>
      <c r="J2190" s="2485"/>
    </row>
    <row r="2191" spans="1:13" s="2454" customFormat="1" ht="16.5">
      <c r="A2191" s="2465" t="s">
        <v>4202</v>
      </c>
      <c r="B2191" s="2482" t="e">
        <f>SUM(C2185:C2190)</f>
        <v>#VALUE!</v>
      </c>
      <c r="C2191" s="2465"/>
      <c r="D2191" s="2465" t="e">
        <f>SUM(D2185:D2190)</f>
        <v>#VALUE!</v>
      </c>
      <c r="J2191" s="2481" t="s">
        <v>4203</v>
      </c>
      <c r="K2191" s="2486" t="e">
        <f>SUM(I2185:I2189)</f>
        <v>#VALUE!</v>
      </c>
    </row>
    <row r="2192" spans="1:13" s="2454" customFormat="1" ht="16.5"/>
    <row r="2193" spans="1:11" s="2454" customFormat="1" ht="16.5">
      <c r="A2193" s="2454" t="s">
        <v>4204</v>
      </c>
    </row>
    <row r="2194" spans="1:11" s="2454" customFormat="1" ht="15" customHeight="1">
      <c r="A2194" s="2465"/>
      <c r="E2194" s="2454" t="s">
        <v>4205</v>
      </c>
      <c r="K2194" s="2470">
        <f>J2138</f>
        <v>0</v>
      </c>
    </row>
    <row r="2195" spans="1:11" s="2454" customFormat="1" ht="16.5">
      <c r="A2195" s="2465"/>
      <c r="E2195" s="2454" t="s">
        <v>4206</v>
      </c>
      <c r="K2195" s="2470" t="e">
        <f>K2181</f>
        <v>#VALUE!</v>
      </c>
    </row>
    <row r="2196" spans="1:11" s="2454" customFormat="1" ht="16.5">
      <c r="A2196" s="2465"/>
      <c r="E2196" s="2454" t="s">
        <v>4207</v>
      </c>
      <c r="K2196" s="2470" t="e">
        <f>K2191</f>
        <v>#VALUE!</v>
      </c>
    </row>
    <row r="2197" spans="1:11" s="2454" customFormat="1" ht="16.5">
      <c r="A2197" s="2465"/>
      <c r="C2197" s="2456" t="s">
        <v>4208</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UtVN6oieTJKnv1SzYCJ3p8UZsvcKRSr73I6lVkAkGojHHSqIPN6TDR00NhycDFhU8QDiSomdEDl9N+0HMiNrhQ==" saltValue="gbDTQOqul5j9b1Vi2qGZJ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DD878095-C511-4122-A464-9D10EEEEFFC3}">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2582</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6428</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3315</v>
      </c>
      <c r="C13" s="4755"/>
      <c r="D13" s="4755"/>
      <c r="E13" s="4755"/>
      <c r="F13" s="4755"/>
      <c r="G13" s="4755"/>
      <c r="H13" s="4755"/>
      <c r="I13" s="4755"/>
      <c r="J13" s="4755"/>
      <c r="K13" s="4755"/>
      <c r="L13" s="4755"/>
      <c r="M13" s="4755"/>
      <c r="U13" s="3121" t="s">
        <v>6575</v>
      </c>
    </row>
    <row r="14" spans="1:26" ht="47.25" customHeight="1">
      <c r="A14" s="3127" t="s">
        <v>1659</v>
      </c>
      <c r="B14" s="4755" t="s">
        <v>3316</v>
      </c>
      <c r="C14" s="4755"/>
      <c r="D14" s="4755"/>
      <c r="E14" s="4755"/>
      <c r="F14" s="4755"/>
      <c r="G14" s="4755"/>
      <c r="H14" s="4755"/>
      <c r="I14" s="4755"/>
      <c r="J14" s="4755"/>
      <c r="K14" s="4755"/>
      <c r="L14" s="4755"/>
      <c r="M14" s="4755"/>
    </row>
    <row r="15" spans="1:26" ht="117" customHeight="1">
      <c r="A15" s="3127" t="s">
        <v>1660</v>
      </c>
      <c r="B15" s="4755" t="s">
        <v>3317</v>
      </c>
      <c r="C15" s="4755"/>
      <c r="D15" s="4755"/>
      <c r="E15" s="4755"/>
      <c r="F15" s="4755"/>
      <c r="G15" s="4755"/>
      <c r="H15" s="4755"/>
      <c r="I15" s="4755"/>
      <c r="J15" s="4755"/>
      <c r="K15" s="4755"/>
      <c r="L15" s="4755"/>
      <c r="M15" s="4755"/>
    </row>
    <row r="16" spans="1:26" ht="147" customHeight="1">
      <c r="A16" s="3127" t="s">
        <v>2260</v>
      </c>
      <c r="B16" s="4755" t="s">
        <v>3190</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3189</v>
      </c>
      <c r="C18" s="4755"/>
      <c r="D18" s="4755"/>
      <c r="E18" s="4755"/>
      <c r="F18" s="4755"/>
      <c r="G18" s="4755"/>
      <c r="H18" s="4755"/>
      <c r="I18" s="4755"/>
      <c r="J18" s="4755"/>
      <c r="K18" s="4755"/>
      <c r="L18" s="4755"/>
      <c r="M18" s="4755"/>
    </row>
    <row r="19" spans="1:13" ht="48.75" customHeight="1">
      <c r="A19" s="3127" t="s">
        <v>92</v>
      </c>
      <c r="B19" s="4751" t="s">
        <v>3318</v>
      </c>
      <c r="C19" s="4751"/>
      <c r="D19" s="4751"/>
      <c r="E19" s="4751"/>
      <c r="F19" s="4751"/>
      <c r="G19" s="4751"/>
      <c r="H19" s="4751"/>
      <c r="I19" s="4751"/>
      <c r="J19" s="4751"/>
      <c r="K19" s="4751"/>
      <c r="L19" s="4751"/>
      <c r="M19" s="4751"/>
    </row>
    <row r="20" spans="1:13" ht="50.25" customHeight="1">
      <c r="A20" s="3127" t="s">
        <v>489</v>
      </c>
      <c r="B20" s="4755" t="s">
        <v>3191</v>
      </c>
      <c r="C20" s="4755"/>
      <c r="D20" s="4755"/>
      <c r="E20" s="4755"/>
      <c r="F20" s="4755"/>
      <c r="G20" s="4755"/>
      <c r="H20" s="4755"/>
      <c r="I20" s="4755"/>
      <c r="J20" s="4755"/>
      <c r="K20" s="4755"/>
      <c r="L20" s="4755"/>
      <c r="M20" s="4755"/>
    </row>
    <row r="21" spans="1:13" ht="31.5" customHeight="1">
      <c r="A21" s="3127" t="s">
        <v>490</v>
      </c>
      <c r="B21" s="4755" t="s">
        <v>3209</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3210</v>
      </c>
      <c r="C25" s="4755"/>
      <c r="D25" s="4755"/>
      <c r="E25" s="4755"/>
      <c r="F25" s="4755"/>
      <c r="G25" s="4755"/>
      <c r="H25" s="4755"/>
      <c r="I25" s="4755"/>
      <c r="J25" s="4755"/>
      <c r="K25" s="4755"/>
      <c r="L25" s="4755"/>
      <c r="M25" s="4755"/>
    </row>
    <row r="26" spans="1:13" ht="31.5" customHeight="1">
      <c r="A26" s="3127" t="s">
        <v>1409</v>
      </c>
      <c r="B26" s="4755" t="s">
        <v>3211</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2584</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k3qNQJdCnfZpcHRzoCRjpB9rCToEoLNy8THDPnqcrVrnhbVIfp5+MFAcfC4I43h3gDoPtqrxnesjyFjyezfHFg==" saltValue="Zv3NWRFmLWTGfAFZtERZU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2561</v>
      </c>
      <c r="G13" s="1369"/>
      <c r="H13" s="1369"/>
      <c r="I13" s="137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4099</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4100</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4101</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4102</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4103</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3119</v>
      </c>
      <c r="G20" s="4768"/>
      <c r="H20" s="4768"/>
      <c r="I20" s="4768"/>
      <c r="J20" s="4769"/>
      <c r="K20" s="277"/>
      <c r="L20" s="516" t="s">
        <v>3263</v>
      </c>
      <c r="M20" s="277"/>
      <c r="N20" s="4767" t="s">
        <v>3119</v>
      </c>
      <c r="O20" s="4768"/>
      <c r="P20" s="4768"/>
      <c r="Q20" s="4768"/>
      <c r="R20" s="4769"/>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79" t="s">
        <v>4104</v>
      </c>
      <c r="G104" s="1371"/>
      <c r="H104" s="1376"/>
      <c r="I104" s="27"/>
      <c r="J104" s="168" t="s">
        <v>4110</v>
      </c>
      <c r="K104" s="168" t="s">
        <v>4111</v>
      </c>
      <c r="L104" s="1386"/>
      <c r="M104" s="1386"/>
      <c r="N104" s="1386"/>
      <c r="O104" s="1385" t="s">
        <v>4105</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4106</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5" t="s">
        <v>6320</v>
      </c>
      <c r="R150" s="4795"/>
    </row>
    <row r="151" spans="1:28" ht="11.25" customHeight="1">
      <c r="F151" s="168" t="s">
        <v>2479</v>
      </c>
      <c r="G151" s="168"/>
      <c r="H151" s="168" t="s">
        <v>6319</v>
      </c>
      <c r="I151" s="166"/>
      <c r="J151" s="4779">
        <v>0.35</v>
      </c>
      <c r="K151" s="4779"/>
      <c r="L151" s="168"/>
      <c r="M151" s="168"/>
      <c r="N151" s="168"/>
      <c r="O151" s="168"/>
      <c r="P151" s="166"/>
      <c r="Q151" s="4781">
        <v>900000</v>
      </c>
      <c r="R151" s="4781"/>
    </row>
    <row r="152" spans="1:28" ht="11.25" customHeight="1">
      <c r="A152" s="272"/>
      <c r="F152" s="168" t="s">
        <v>6318</v>
      </c>
      <c r="G152" s="168"/>
      <c r="H152" s="168" t="s">
        <v>6319</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3141</v>
      </c>
      <c r="G153" s="168"/>
      <c r="H153" s="168" t="s">
        <v>6319</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3554</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8">
        <v>2019</v>
      </c>
      <c r="D335" s="4789"/>
      <c r="E335" s="4789"/>
      <c r="F335" s="4789"/>
      <c r="G335" s="4788">
        <v>2020</v>
      </c>
      <c r="H335" s="4788"/>
      <c r="I335" s="4788"/>
      <c r="J335" s="4788"/>
      <c r="K335"/>
      <c r="L335" s="4790" t="s">
        <v>4263</v>
      </c>
      <c r="M335" s="4791"/>
      <c r="N335" s="4791"/>
      <c r="O335" s="4792"/>
      <c r="P335" s="504" t="s">
        <v>762</v>
      </c>
      <c r="Q335" s="287"/>
      <c r="R335" s="168"/>
      <c r="S335" s="380"/>
      <c r="T335" s="505" t="s">
        <v>659</v>
      </c>
      <c r="U335" s="505" t="s">
        <v>2082</v>
      </c>
      <c r="W335" s="418" t="s">
        <v>1395</v>
      </c>
      <c r="X335" s="418" t="s">
        <v>3138</v>
      </c>
      <c r="AA335" s="27"/>
      <c r="AB335" s="27"/>
      <c r="AC335" s="809"/>
      <c r="AD335" s="481"/>
    </row>
    <row r="336" spans="3:30" ht="10.5" customHeight="1">
      <c r="C336" s="4793" t="s">
        <v>4163</v>
      </c>
      <c r="D336" s="4794" t="s">
        <v>4164</v>
      </c>
      <c r="E336" s="4794" t="s">
        <v>4165</v>
      </c>
      <c r="F336" s="4794" t="s">
        <v>4166</v>
      </c>
      <c r="G336" s="4793" t="s">
        <v>4163</v>
      </c>
      <c r="H336" s="4794" t="s">
        <v>4164</v>
      </c>
      <c r="I336" s="4794" t="s">
        <v>4165</v>
      </c>
      <c r="J336" s="4794" t="s">
        <v>4166</v>
      </c>
      <c r="K336"/>
      <c r="L336" s="4793" t="s">
        <v>4163</v>
      </c>
      <c r="M336" s="4794" t="s">
        <v>4164</v>
      </c>
      <c r="N336" s="4794" t="s">
        <v>4165</v>
      </c>
      <c r="O336" s="4794" t="s">
        <v>4166</v>
      </c>
      <c r="P336" s="504" t="s">
        <v>2311</v>
      </c>
      <c r="Q336" s="287"/>
      <c r="R336" s="168"/>
      <c r="S336" s="380"/>
      <c r="T336" s="473" t="s">
        <v>147</v>
      </c>
      <c r="U336" s="473" t="s">
        <v>1788</v>
      </c>
      <c r="W336" s="418" t="s">
        <v>1518</v>
      </c>
      <c r="X336" s="418" t="s">
        <v>3138</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2312</v>
      </c>
      <c r="Q337" s="287"/>
      <c r="R337" s="168"/>
      <c r="S337" s="380"/>
      <c r="T337" s="473" t="s">
        <v>188</v>
      </c>
      <c r="U337" s="473" t="s">
        <v>598</v>
      </c>
      <c r="W337" s="418" t="s">
        <v>2026</v>
      </c>
      <c r="X337" s="418" t="s">
        <v>3138</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2314</v>
      </c>
      <c r="Q338" s="287"/>
      <c r="R338" s="168"/>
      <c r="S338" s="380"/>
      <c r="T338" s="473" t="s">
        <v>2449</v>
      </c>
      <c r="U338" s="473" t="s">
        <v>1919</v>
      </c>
      <c r="W338" s="418" t="s">
        <v>2028</v>
      </c>
      <c r="X338" s="418" t="s">
        <v>3138</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2316</v>
      </c>
      <c r="Q339" s="287"/>
      <c r="R339" s="168"/>
      <c r="S339" s="380"/>
      <c r="T339" s="473" t="s">
        <v>759</v>
      </c>
      <c r="U339" s="473" t="s">
        <v>99</v>
      </c>
      <c r="W339" s="418" t="s">
        <v>1386</v>
      </c>
      <c r="X339" s="418" t="s">
        <v>3138</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2317</v>
      </c>
      <c r="Q340" s="287"/>
      <c r="R340" s="168"/>
      <c r="S340" s="380"/>
      <c r="T340" s="473" t="s">
        <v>761</v>
      </c>
      <c r="U340" s="473" t="s">
        <v>115</v>
      </c>
      <c r="W340" s="418" t="s">
        <v>1492</v>
      </c>
      <c r="X340" s="418" t="s">
        <v>3138</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4248</v>
      </c>
      <c r="H342" s="1535">
        <v>0</v>
      </c>
      <c r="I342" s="1535">
        <v>0</v>
      </c>
      <c r="J342" s="1536">
        <v>0</v>
      </c>
      <c r="K342" s="1525"/>
      <c r="L342" s="1517" t="s">
        <v>4248</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4301</v>
      </c>
      <c r="D343" s="1523">
        <v>0</v>
      </c>
      <c r="E343" s="1523">
        <v>0</v>
      </c>
      <c r="F343" s="1524">
        <v>0</v>
      </c>
      <c r="G343" s="1537" t="s">
        <v>4301</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4302</v>
      </c>
      <c r="D344" s="1523">
        <v>0</v>
      </c>
      <c r="E344" s="1523">
        <v>0</v>
      </c>
      <c r="F344" s="1524">
        <v>0</v>
      </c>
      <c r="G344" s="1537" t="s">
        <v>4302</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4303</v>
      </c>
      <c r="D345" s="1523">
        <v>0</v>
      </c>
      <c r="E345" s="1523">
        <v>0</v>
      </c>
      <c r="F345" s="1524">
        <v>0</v>
      </c>
      <c r="G345" s="1537" t="s">
        <v>4303</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4304</v>
      </c>
      <c r="D346" s="1523">
        <v>0</v>
      </c>
      <c r="E346" s="1523">
        <v>0</v>
      </c>
      <c r="F346" s="1524">
        <v>0</v>
      </c>
      <c r="G346" s="1537" t="s">
        <v>4304</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4305</v>
      </c>
      <c r="D347" s="1523">
        <v>0</v>
      </c>
      <c r="E347" s="1523">
        <v>0</v>
      </c>
      <c r="F347" s="1524">
        <v>0</v>
      </c>
      <c r="G347" s="1537" t="s">
        <v>4305</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4306</v>
      </c>
      <c r="D348" s="1523">
        <v>0</v>
      </c>
      <c r="E348" s="1523">
        <v>0</v>
      </c>
      <c r="F348" s="1524">
        <v>0</v>
      </c>
      <c r="G348" s="1537" t="s">
        <v>4306</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4307</v>
      </c>
      <c r="D349" s="1523">
        <v>0</v>
      </c>
      <c r="E349" s="1523">
        <v>0</v>
      </c>
      <c r="F349" s="1524">
        <v>0</v>
      </c>
      <c r="G349" s="1537" t="s">
        <v>4307</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4308</v>
      </c>
      <c r="D350" s="1523">
        <v>1</v>
      </c>
      <c r="E350" s="1523">
        <v>0</v>
      </c>
      <c r="F350" s="1524">
        <v>1</v>
      </c>
      <c r="G350" s="1537" t="s">
        <v>4308</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4309</v>
      </c>
      <c r="D351" s="1523">
        <v>0</v>
      </c>
      <c r="E351" s="1523">
        <v>0</v>
      </c>
      <c r="F351" s="1524">
        <v>0</v>
      </c>
      <c r="G351" s="1537" t="s">
        <v>4309</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4310</v>
      </c>
      <c r="D352" s="1523">
        <v>0</v>
      </c>
      <c r="E352" s="1523">
        <v>0</v>
      </c>
      <c r="F352" s="1524">
        <v>0</v>
      </c>
      <c r="G352" s="1537" t="s">
        <v>4310</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4311</v>
      </c>
      <c r="D353" s="1523">
        <v>0</v>
      </c>
      <c r="E353" s="1523">
        <v>0</v>
      </c>
      <c r="F353" s="1524">
        <v>0</v>
      </c>
      <c r="G353" s="1537" t="s">
        <v>4311</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4312</v>
      </c>
      <c r="D354" s="1523">
        <v>1</v>
      </c>
      <c r="E354" s="1523">
        <v>0</v>
      </c>
      <c r="F354" s="1524">
        <v>1</v>
      </c>
      <c r="G354" s="1537" t="s">
        <v>4312</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4313</v>
      </c>
      <c r="D355" s="1523">
        <v>0</v>
      </c>
      <c r="E355" s="1523">
        <v>0</v>
      </c>
      <c r="F355" s="1524">
        <v>0</v>
      </c>
      <c r="G355" s="1537" t="s">
        <v>4313</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4314</v>
      </c>
      <c r="D356" s="1523">
        <v>0</v>
      </c>
      <c r="E356" s="1523">
        <v>0</v>
      </c>
      <c r="F356" s="1524">
        <v>0</v>
      </c>
      <c r="G356" s="1537" t="s">
        <v>4314</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4315</v>
      </c>
      <c r="D357" s="1523">
        <v>1</v>
      </c>
      <c r="E357" s="1523">
        <v>1</v>
      </c>
      <c r="F357" s="1524">
        <v>2</v>
      </c>
      <c r="G357" s="1537" t="s">
        <v>4315</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4316</v>
      </c>
      <c r="D358" s="1523">
        <v>0</v>
      </c>
      <c r="E358" s="1523">
        <v>0</v>
      </c>
      <c r="F358" s="1524">
        <v>0</v>
      </c>
      <c r="G358" s="1537" t="s">
        <v>4316</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4317</v>
      </c>
      <c r="D359" s="1523">
        <v>0</v>
      </c>
      <c r="E359" s="1523">
        <v>0</v>
      </c>
      <c r="F359" s="1524">
        <v>0</v>
      </c>
      <c r="G359" s="1537" t="s">
        <v>4317</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4318</v>
      </c>
      <c r="D360" s="1523">
        <v>0</v>
      </c>
      <c r="E360" s="1523">
        <v>0</v>
      </c>
      <c r="F360" s="1524">
        <v>0</v>
      </c>
      <c r="G360" s="1537" t="s">
        <v>4318</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4319</v>
      </c>
      <c r="D361" s="1523">
        <v>0</v>
      </c>
      <c r="E361" s="1523">
        <v>0</v>
      </c>
      <c r="F361" s="1524">
        <v>0</v>
      </c>
      <c r="G361" s="1537" t="s">
        <v>4319</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4320</v>
      </c>
      <c r="D362" s="1523">
        <v>0</v>
      </c>
      <c r="E362" s="1523">
        <v>0</v>
      </c>
      <c r="F362" s="1524">
        <v>0</v>
      </c>
      <c r="G362" s="1537" t="s">
        <v>4320</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4321</v>
      </c>
      <c r="D363" s="1523">
        <v>0</v>
      </c>
      <c r="E363" s="1523">
        <v>0</v>
      </c>
      <c r="F363" s="1524">
        <v>0</v>
      </c>
      <c r="G363" s="1537" t="s">
        <v>4321</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4322</v>
      </c>
      <c r="D364" s="1523">
        <v>0</v>
      </c>
      <c r="E364" s="1523">
        <v>0</v>
      </c>
      <c r="F364" s="1524">
        <v>0</v>
      </c>
      <c r="G364" s="1537" t="s">
        <v>4322</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4323</v>
      </c>
      <c r="D365" s="1523">
        <v>0</v>
      </c>
      <c r="E365" s="1523">
        <v>0</v>
      </c>
      <c r="F365" s="1524">
        <v>0</v>
      </c>
      <c r="G365" s="1537" t="s">
        <v>4323</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4324</v>
      </c>
      <c r="D366" s="1523">
        <v>1</v>
      </c>
      <c r="E366" s="1523">
        <v>1</v>
      </c>
      <c r="F366" s="1524">
        <v>2</v>
      </c>
      <c r="G366" s="1537" t="s">
        <v>4324</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4325</v>
      </c>
      <c r="D367" s="1523">
        <v>0</v>
      </c>
      <c r="E367" s="1523">
        <v>0</v>
      </c>
      <c r="F367" s="1524">
        <v>0</v>
      </c>
      <c r="G367" s="1537" t="s">
        <v>4325</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4326</v>
      </c>
      <c r="D368" s="1523">
        <v>1</v>
      </c>
      <c r="E368" s="1523">
        <v>1</v>
      </c>
      <c r="F368" s="1524">
        <v>2</v>
      </c>
      <c r="G368" s="1537" t="s">
        <v>4326</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4327</v>
      </c>
      <c r="D369" s="1523">
        <v>0</v>
      </c>
      <c r="E369" s="1523">
        <v>1</v>
      </c>
      <c r="F369" s="1524">
        <v>1</v>
      </c>
      <c r="G369" s="1537" t="s">
        <v>4327</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4328</v>
      </c>
      <c r="D370" s="1523">
        <v>0</v>
      </c>
      <c r="E370" s="1523">
        <v>1</v>
      </c>
      <c r="F370" s="1524">
        <v>1</v>
      </c>
      <c r="G370" s="1537" t="s">
        <v>4328</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4329</v>
      </c>
      <c r="D371" s="1523">
        <v>0</v>
      </c>
      <c r="E371" s="1523">
        <v>1</v>
      </c>
      <c r="F371" s="1524">
        <v>1</v>
      </c>
      <c r="G371" s="1537" t="s">
        <v>4329</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4330</v>
      </c>
      <c r="D372" s="1523">
        <v>0</v>
      </c>
      <c r="E372" s="1523">
        <v>0</v>
      </c>
      <c r="F372" s="1524">
        <v>0</v>
      </c>
      <c r="G372" s="1537" t="s">
        <v>4330</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4331</v>
      </c>
      <c r="D373" s="1523">
        <v>0</v>
      </c>
      <c r="E373" s="1523">
        <v>1</v>
      </c>
      <c r="F373" s="1524">
        <v>1</v>
      </c>
      <c r="G373" s="1537" t="s">
        <v>4331</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4332</v>
      </c>
      <c r="D374" s="1523">
        <v>0</v>
      </c>
      <c r="E374" s="1523">
        <v>0</v>
      </c>
      <c r="F374" s="1524">
        <v>0</v>
      </c>
      <c r="G374" s="1537" t="s">
        <v>4332</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4333</v>
      </c>
      <c r="D375" s="1523">
        <v>0</v>
      </c>
      <c r="E375" s="1523">
        <v>0</v>
      </c>
      <c r="F375" s="1524">
        <v>0</v>
      </c>
      <c r="G375" s="1537" t="s">
        <v>4333</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4334</v>
      </c>
      <c r="D376" s="1523">
        <v>0</v>
      </c>
      <c r="E376" s="1523">
        <v>0</v>
      </c>
      <c r="F376" s="1524">
        <v>0</v>
      </c>
      <c r="G376" s="1537" t="s">
        <v>4334</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4335</v>
      </c>
      <c r="D377" s="1523">
        <v>1</v>
      </c>
      <c r="E377" s="1523">
        <v>1</v>
      </c>
      <c r="F377" s="1524">
        <v>2</v>
      </c>
      <c r="G377" s="1537" t="s">
        <v>4335</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4336</v>
      </c>
      <c r="D378" s="1523">
        <v>1</v>
      </c>
      <c r="E378" s="1523">
        <v>1</v>
      </c>
      <c r="F378" s="1524">
        <v>2</v>
      </c>
      <c r="G378" s="1537" t="s">
        <v>4336</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4337</v>
      </c>
      <c r="D379" s="1523">
        <v>1</v>
      </c>
      <c r="E379" s="1523">
        <v>1</v>
      </c>
      <c r="F379" s="1524">
        <v>2</v>
      </c>
      <c r="G379" s="1537" t="s">
        <v>4337</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4338</v>
      </c>
      <c r="D380" s="1523">
        <v>1</v>
      </c>
      <c r="E380" s="1523">
        <v>1</v>
      </c>
      <c r="F380" s="1524">
        <v>2</v>
      </c>
      <c r="G380" s="1537" t="s">
        <v>4338</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4339</v>
      </c>
      <c r="D381" s="1523">
        <v>1</v>
      </c>
      <c r="E381" s="1523">
        <v>1</v>
      </c>
      <c r="F381" s="1524">
        <v>2</v>
      </c>
      <c r="G381" s="1537" t="s">
        <v>4339</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4340</v>
      </c>
      <c r="D382" s="1523">
        <v>0</v>
      </c>
      <c r="E382" s="1523">
        <v>0</v>
      </c>
      <c r="F382" s="1524">
        <v>0</v>
      </c>
      <c r="G382" s="1537" t="s">
        <v>4340</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4341</v>
      </c>
      <c r="D383" s="1523">
        <v>1</v>
      </c>
      <c r="E383" s="1523">
        <v>1</v>
      </c>
      <c r="F383" s="1524">
        <v>2</v>
      </c>
      <c r="G383" s="1537" t="s">
        <v>4341</v>
      </c>
      <c r="H383" s="1521">
        <v>1</v>
      </c>
      <c r="I383" s="1521" t="s">
        <v>4096</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4342</v>
      </c>
      <c r="D384" s="1523">
        <v>1</v>
      </c>
      <c r="E384" s="1523">
        <v>1</v>
      </c>
      <c r="F384" s="1524">
        <v>2</v>
      </c>
      <c r="G384" s="1537" t="s">
        <v>4342</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4343</v>
      </c>
      <c r="D385" s="1523">
        <v>1</v>
      </c>
      <c r="E385" s="1523">
        <v>1</v>
      </c>
      <c r="F385" s="1524">
        <v>2</v>
      </c>
      <c r="G385" s="1537" t="s">
        <v>4343</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4344</v>
      </c>
      <c r="D386" s="1523">
        <v>1</v>
      </c>
      <c r="E386" s="1523">
        <v>1</v>
      </c>
      <c r="F386" s="1524">
        <v>2</v>
      </c>
      <c r="G386" s="1537" t="s">
        <v>4344</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4345</v>
      </c>
      <c r="D387" s="1523">
        <v>1</v>
      </c>
      <c r="E387" s="1523">
        <v>1</v>
      </c>
      <c r="F387" s="1524">
        <v>2</v>
      </c>
      <c r="G387" s="1537" t="s">
        <v>4345</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4346</v>
      </c>
      <c r="D388" s="1523">
        <v>0</v>
      </c>
      <c r="E388" s="1523">
        <v>1</v>
      </c>
      <c r="F388" s="1524">
        <v>1</v>
      </c>
      <c r="G388" s="1537" t="s">
        <v>4346</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4347</v>
      </c>
      <c r="D389" s="1523">
        <v>1</v>
      </c>
      <c r="E389" s="1523">
        <v>1</v>
      </c>
      <c r="F389" s="1524">
        <v>2</v>
      </c>
      <c r="G389" s="1537" t="s">
        <v>4347</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4348</v>
      </c>
      <c r="D390" s="1523">
        <v>1</v>
      </c>
      <c r="E390" s="1523">
        <v>1</v>
      </c>
      <c r="F390" s="1524">
        <v>2</v>
      </c>
      <c r="G390" s="1537" t="s">
        <v>4348</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4349</v>
      </c>
      <c r="D391" s="1523">
        <v>0</v>
      </c>
      <c r="E391" s="1523">
        <v>1</v>
      </c>
      <c r="F391" s="1524">
        <v>1</v>
      </c>
      <c r="G391" s="1537" t="s">
        <v>4349</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4350</v>
      </c>
      <c r="D392" s="1523">
        <v>0</v>
      </c>
      <c r="E392" s="1523">
        <v>0</v>
      </c>
      <c r="F392" s="1524">
        <v>0</v>
      </c>
      <c r="G392" s="1537" t="s">
        <v>4350</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4351</v>
      </c>
      <c r="D393" s="1523">
        <v>0</v>
      </c>
      <c r="E393" s="1523">
        <v>0</v>
      </c>
      <c r="F393" s="1524">
        <v>0</v>
      </c>
      <c r="G393" s="1537" t="s">
        <v>4351</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4352</v>
      </c>
      <c r="D394" s="1523">
        <v>0</v>
      </c>
      <c r="E394" s="1523">
        <v>0</v>
      </c>
      <c r="F394" s="1524">
        <v>0</v>
      </c>
      <c r="G394" s="1537" t="s">
        <v>4352</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4353</v>
      </c>
      <c r="D395" s="1523">
        <v>0</v>
      </c>
      <c r="E395" s="1523">
        <v>0</v>
      </c>
      <c r="F395" s="1524">
        <v>0</v>
      </c>
      <c r="G395" s="1537" t="s">
        <v>4353</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4354</v>
      </c>
      <c r="D396" s="1523">
        <v>0</v>
      </c>
      <c r="E396" s="1523">
        <v>0</v>
      </c>
      <c r="F396" s="1524">
        <v>0</v>
      </c>
      <c r="G396" s="1537" t="s">
        <v>4354</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4355</v>
      </c>
      <c r="D397" s="1523">
        <v>0</v>
      </c>
      <c r="E397" s="1523">
        <v>0</v>
      </c>
      <c r="F397" s="1524">
        <v>0</v>
      </c>
      <c r="G397" s="1537" t="s">
        <v>4355</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4356</v>
      </c>
      <c r="D398" s="1523">
        <v>0</v>
      </c>
      <c r="E398" s="1523">
        <v>1</v>
      </c>
      <c r="F398" s="1524">
        <v>1</v>
      </c>
      <c r="G398" s="1537" t="s">
        <v>4356</v>
      </c>
      <c r="H398" s="1521">
        <v>1</v>
      </c>
      <c r="I398" s="1521" t="s">
        <v>4096</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4357</v>
      </c>
      <c r="D399" s="1523">
        <v>1</v>
      </c>
      <c r="E399" s="1523">
        <v>1</v>
      </c>
      <c r="F399" s="1524">
        <v>2</v>
      </c>
      <c r="G399" s="1537" t="s">
        <v>4357</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4358</v>
      </c>
      <c r="D400" s="1523">
        <v>1</v>
      </c>
      <c r="E400" s="1523">
        <v>1</v>
      </c>
      <c r="F400" s="1524">
        <v>2</v>
      </c>
      <c r="G400" s="1537" t="s">
        <v>4358</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4359</v>
      </c>
      <c r="D401" s="1523">
        <v>0</v>
      </c>
      <c r="E401" s="1523">
        <v>0</v>
      </c>
      <c r="F401" s="1524">
        <v>0</v>
      </c>
      <c r="G401" s="1537" t="s">
        <v>4359</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4360</v>
      </c>
      <c r="D402" s="1523">
        <v>0</v>
      </c>
      <c r="E402" s="1523">
        <v>0</v>
      </c>
      <c r="F402" s="1524">
        <v>0</v>
      </c>
      <c r="G402" s="1537" t="s">
        <v>4360</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4361</v>
      </c>
      <c r="D403" s="1523">
        <v>0</v>
      </c>
      <c r="E403" s="1523">
        <v>0</v>
      </c>
      <c r="F403" s="1524">
        <v>0</v>
      </c>
      <c r="G403" s="1537" t="s">
        <v>4361</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4362</v>
      </c>
      <c r="D404" s="1523">
        <v>0</v>
      </c>
      <c r="E404" s="1523">
        <v>0</v>
      </c>
      <c r="F404" s="1524">
        <v>0</v>
      </c>
      <c r="G404" s="1537" t="s">
        <v>4362</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4363</v>
      </c>
      <c r="D405" s="1523">
        <v>0</v>
      </c>
      <c r="E405" s="1523">
        <v>0</v>
      </c>
      <c r="F405" s="1524">
        <v>0</v>
      </c>
      <c r="G405" s="1537" t="s">
        <v>4363</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4364</v>
      </c>
      <c r="D406" s="1523">
        <v>0</v>
      </c>
      <c r="E406" s="1523">
        <v>0</v>
      </c>
      <c r="F406" s="1524">
        <v>0</v>
      </c>
      <c r="G406" s="1537" t="s">
        <v>4364</v>
      </c>
      <c r="H406" s="1521">
        <v>0</v>
      </c>
      <c r="I406" s="1521" t="s">
        <v>4096</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4365</v>
      </c>
      <c r="D407" s="1523">
        <v>0</v>
      </c>
      <c r="E407" s="1523">
        <v>0</v>
      </c>
      <c r="F407" s="1524">
        <v>0</v>
      </c>
      <c r="G407" s="1537" t="s">
        <v>4365</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4366</v>
      </c>
      <c r="D408" s="1523">
        <v>0</v>
      </c>
      <c r="E408" s="1523">
        <v>0</v>
      </c>
      <c r="F408" s="1524">
        <v>0</v>
      </c>
      <c r="G408" s="1537" t="s">
        <v>4366</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4367</v>
      </c>
      <c r="D409" s="1523">
        <v>0</v>
      </c>
      <c r="E409" s="1523">
        <v>0</v>
      </c>
      <c r="F409" s="1524">
        <v>0</v>
      </c>
      <c r="G409" s="1537" t="s">
        <v>4367</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4368</v>
      </c>
      <c r="D410" s="1523">
        <v>0</v>
      </c>
      <c r="E410" s="1523">
        <v>0</v>
      </c>
      <c r="F410" s="1524">
        <v>0</v>
      </c>
      <c r="G410" s="1537" t="s">
        <v>4368</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4369</v>
      </c>
      <c r="D411" s="1523">
        <v>0</v>
      </c>
      <c r="E411" s="1523">
        <v>0</v>
      </c>
      <c r="F411" s="1524">
        <v>0</v>
      </c>
      <c r="G411" s="1537" t="s">
        <v>4369</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4370</v>
      </c>
      <c r="D412" s="1523">
        <v>0</v>
      </c>
      <c r="E412" s="1523">
        <v>0</v>
      </c>
      <c r="F412" s="1524">
        <v>0</v>
      </c>
      <c r="G412" s="1537" t="s">
        <v>4370</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4371</v>
      </c>
      <c r="D413" s="1523">
        <v>0</v>
      </c>
      <c r="E413" s="1523">
        <v>0</v>
      </c>
      <c r="F413" s="1524">
        <v>0</v>
      </c>
      <c r="G413" s="1537" t="s">
        <v>4371</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4372</v>
      </c>
      <c r="D414" s="1523">
        <v>0</v>
      </c>
      <c r="E414" s="1523">
        <v>0</v>
      </c>
      <c r="F414" s="1524">
        <v>0</v>
      </c>
      <c r="G414" s="1537" t="s">
        <v>4372</v>
      </c>
      <c r="H414" s="1521">
        <v>0</v>
      </c>
      <c r="I414" s="1521" t="s">
        <v>4096</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4373</v>
      </c>
      <c r="D415" s="1523">
        <v>0</v>
      </c>
      <c r="E415" s="1523">
        <v>0</v>
      </c>
      <c r="F415" s="1524">
        <v>0</v>
      </c>
      <c r="G415" s="1537" t="s">
        <v>4373</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4374</v>
      </c>
      <c r="D416" s="1523">
        <v>0</v>
      </c>
      <c r="E416" s="1523">
        <v>0</v>
      </c>
      <c r="F416" s="1524">
        <v>0</v>
      </c>
      <c r="G416" s="1537" t="s">
        <v>4374</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4375</v>
      </c>
      <c r="D417" s="1523">
        <v>1</v>
      </c>
      <c r="E417" s="1523">
        <v>1</v>
      </c>
      <c r="F417" s="1524">
        <v>2</v>
      </c>
      <c r="G417" s="1537" t="s">
        <v>4375</v>
      </c>
      <c r="H417" s="1521">
        <v>0</v>
      </c>
      <c r="I417" s="1521" t="s">
        <v>4096</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4376</v>
      </c>
      <c r="D418" s="1523">
        <v>0</v>
      </c>
      <c r="E418" s="1523">
        <v>0</v>
      </c>
      <c r="F418" s="1524">
        <v>0</v>
      </c>
      <c r="G418" s="1537" t="s">
        <v>4376</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4377</v>
      </c>
      <c r="D419" s="1523">
        <v>0</v>
      </c>
      <c r="E419" s="1523">
        <v>0</v>
      </c>
      <c r="F419" s="1524">
        <v>0</v>
      </c>
      <c r="G419" s="1537" t="s">
        <v>4377</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4378</v>
      </c>
      <c r="D420" s="1523">
        <v>0</v>
      </c>
      <c r="E420" s="1523">
        <v>0</v>
      </c>
      <c r="F420" s="1524">
        <v>0</v>
      </c>
      <c r="G420" s="1537" t="s">
        <v>4378</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4379</v>
      </c>
      <c r="D421" s="1523">
        <v>0</v>
      </c>
      <c r="E421" s="1523">
        <v>0</v>
      </c>
      <c r="F421" s="1524">
        <v>0</v>
      </c>
      <c r="G421" s="1537" t="s">
        <v>4379</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4380</v>
      </c>
      <c r="D422" s="1523">
        <v>0</v>
      </c>
      <c r="E422" s="1523">
        <v>0</v>
      </c>
      <c r="F422" s="1524">
        <v>0</v>
      </c>
      <c r="G422" s="1537" t="s">
        <v>4380</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4381</v>
      </c>
      <c r="D423" s="1523">
        <v>1</v>
      </c>
      <c r="E423" s="1523">
        <v>0</v>
      </c>
      <c r="F423" s="1524">
        <v>1</v>
      </c>
      <c r="G423" s="1537" t="s">
        <v>4381</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4382</v>
      </c>
      <c r="D424" s="1523">
        <v>0</v>
      </c>
      <c r="E424" s="1523">
        <v>0</v>
      </c>
      <c r="F424" s="1524">
        <v>0</v>
      </c>
      <c r="G424" s="1537" t="s">
        <v>4382</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4383</v>
      </c>
      <c r="D425" s="1523">
        <v>1</v>
      </c>
      <c r="E425" s="1523">
        <v>1</v>
      </c>
      <c r="F425" s="1524">
        <v>2</v>
      </c>
      <c r="G425" s="1537" t="s">
        <v>4383</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4384</v>
      </c>
      <c r="D426" s="1523">
        <v>1</v>
      </c>
      <c r="E426" s="1523">
        <v>1</v>
      </c>
      <c r="F426" s="1524">
        <v>2</v>
      </c>
      <c r="G426" s="1537" t="s">
        <v>4384</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4385</v>
      </c>
      <c r="D427" s="1523">
        <v>0</v>
      </c>
      <c r="E427" s="1523">
        <v>1</v>
      </c>
      <c r="F427" s="1524">
        <v>1</v>
      </c>
      <c r="G427" s="1537" t="s">
        <v>4385</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4386</v>
      </c>
      <c r="D428" s="1523">
        <v>0</v>
      </c>
      <c r="E428" s="1523">
        <v>0</v>
      </c>
      <c r="F428" s="1524">
        <v>0</v>
      </c>
      <c r="G428" s="1537" t="s">
        <v>4386</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4387</v>
      </c>
      <c r="D429" s="1523">
        <v>0</v>
      </c>
      <c r="E429" s="1523">
        <v>0</v>
      </c>
      <c r="F429" s="1524">
        <v>0</v>
      </c>
      <c r="G429" s="1537" t="s">
        <v>4387</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4388</v>
      </c>
      <c r="D430" s="1523">
        <v>0</v>
      </c>
      <c r="E430" s="1523">
        <v>0</v>
      </c>
      <c r="F430" s="1524">
        <v>0</v>
      </c>
      <c r="G430" s="1537" t="s">
        <v>4388</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4389</v>
      </c>
      <c r="D431" s="1523">
        <v>0</v>
      </c>
      <c r="E431" s="1523">
        <v>0</v>
      </c>
      <c r="F431" s="1524">
        <v>0</v>
      </c>
      <c r="G431" s="1537" t="s">
        <v>4389</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4390</v>
      </c>
      <c r="D432" s="1523">
        <v>0</v>
      </c>
      <c r="E432" s="1523">
        <v>0</v>
      </c>
      <c r="F432" s="1524">
        <v>0</v>
      </c>
      <c r="G432" s="1537" t="s">
        <v>4390</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4391</v>
      </c>
      <c r="D433" s="1523">
        <v>0</v>
      </c>
      <c r="E433" s="1523">
        <v>0</v>
      </c>
      <c r="F433" s="1524">
        <v>0</v>
      </c>
      <c r="G433" s="1537" t="s">
        <v>4391</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4392</v>
      </c>
      <c r="D434" s="1523">
        <v>0</v>
      </c>
      <c r="E434" s="1523">
        <v>0</v>
      </c>
      <c r="F434" s="1524">
        <v>0</v>
      </c>
      <c r="G434" s="1537" t="s">
        <v>4392</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4393</v>
      </c>
      <c r="D435" s="1523">
        <v>0</v>
      </c>
      <c r="E435" s="1523">
        <v>0</v>
      </c>
      <c r="F435" s="1524">
        <v>0</v>
      </c>
      <c r="G435" s="1537" t="s">
        <v>4393</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4394</v>
      </c>
      <c r="D436" s="1523">
        <v>0</v>
      </c>
      <c r="E436" s="1523">
        <v>0</v>
      </c>
      <c r="F436" s="1524">
        <v>0</v>
      </c>
      <c r="G436" s="1537" t="s">
        <v>4394</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4395</v>
      </c>
      <c r="D437" s="1523">
        <v>0</v>
      </c>
      <c r="E437" s="1523">
        <v>0</v>
      </c>
      <c r="F437" s="1524">
        <v>0</v>
      </c>
      <c r="G437" s="1537" t="s">
        <v>4395</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4396</v>
      </c>
      <c r="D438" s="1523">
        <v>0</v>
      </c>
      <c r="E438" s="1523">
        <v>0</v>
      </c>
      <c r="F438" s="1524">
        <v>0</v>
      </c>
      <c r="G438" s="1537" t="s">
        <v>4396</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4397</v>
      </c>
      <c r="D439" s="1523">
        <v>0</v>
      </c>
      <c r="E439" s="1523">
        <v>0</v>
      </c>
      <c r="F439" s="1524">
        <v>0</v>
      </c>
      <c r="G439" s="1537" t="s">
        <v>4397</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4398</v>
      </c>
      <c r="D440" s="1523">
        <v>0</v>
      </c>
      <c r="E440" s="1523">
        <v>0</v>
      </c>
      <c r="F440" s="1524">
        <v>0</v>
      </c>
      <c r="G440" s="1537" t="s">
        <v>4398</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4399</v>
      </c>
      <c r="D441" s="1523">
        <v>1</v>
      </c>
      <c r="E441" s="1523">
        <v>1</v>
      </c>
      <c r="F441" s="1524">
        <v>2</v>
      </c>
      <c r="G441" s="1537" t="s">
        <v>4399</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4400</v>
      </c>
      <c r="D442" s="1523">
        <v>1</v>
      </c>
      <c r="E442" s="1523">
        <v>1</v>
      </c>
      <c r="F442" s="1524">
        <v>2</v>
      </c>
      <c r="G442" s="1537" t="s">
        <v>4400</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4401</v>
      </c>
      <c r="D443" s="1523">
        <v>1</v>
      </c>
      <c r="E443" s="1523">
        <v>1</v>
      </c>
      <c r="F443" s="1524">
        <v>2</v>
      </c>
      <c r="G443" s="1537" t="s">
        <v>4401</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4402</v>
      </c>
      <c r="D444" s="1523">
        <v>1</v>
      </c>
      <c r="E444" s="1523">
        <v>1</v>
      </c>
      <c r="F444" s="1524">
        <v>2</v>
      </c>
      <c r="G444" s="1537" t="s">
        <v>4402</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4403</v>
      </c>
      <c r="D445" s="1523">
        <v>1</v>
      </c>
      <c r="E445" s="1523">
        <v>1</v>
      </c>
      <c r="F445" s="1524">
        <v>2</v>
      </c>
      <c r="G445" s="1537" t="s">
        <v>4403</v>
      </c>
      <c r="H445" s="1521">
        <v>1</v>
      </c>
      <c r="I445" s="1521" t="s">
        <v>4096</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4404</v>
      </c>
      <c r="D446" s="1523">
        <v>0</v>
      </c>
      <c r="E446" s="1523">
        <v>0</v>
      </c>
      <c r="F446" s="1524">
        <v>0</v>
      </c>
      <c r="G446" s="1537" t="s">
        <v>4404</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4405</v>
      </c>
      <c r="D447" s="1523">
        <v>0</v>
      </c>
      <c r="E447" s="1523">
        <v>0</v>
      </c>
      <c r="F447" s="1524">
        <v>0</v>
      </c>
      <c r="G447" s="1537" t="s">
        <v>4405</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4406</v>
      </c>
      <c r="D448" s="1523">
        <v>1</v>
      </c>
      <c r="E448" s="1523">
        <v>1</v>
      </c>
      <c r="F448" s="1524">
        <v>2</v>
      </c>
      <c r="G448" s="1537" t="s">
        <v>4406</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4407</v>
      </c>
      <c r="D449" s="1523">
        <v>0</v>
      </c>
      <c r="E449" s="1523">
        <v>1</v>
      </c>
      <c r="F449" s="1524">
        <v>1</v>
      </c>
      <c r="G449" s="1537" t="s">
        <v>4407</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4408</v>
      </c>
      <c r="D450" s="1523">
        <v>1</v>
      </c>
      <c r="E450" s="1523">
        <v>1</v>
      </c>
      <c r="F450" s="1524">
        <v>2</v>
      </c>
      <c r="G450" s="1537" t="s">
        <v>4408</v>
      </c>
      <c r="H450" s="1521">
        <v>0</v>
      </c>
      <c r="I450" s="1521" t="s">
        <v>4096</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4409</v>
      </c>
      <c r="D451" s="1523">
        <v>1</v>
      </c>
      <c r="E451" s="1523">
        <v>1</v>
      </c>
      <c r="F451" s="1524">
        <v>2</v>
      </c>
      <c r="G451" s="1537" t="s">
        <v>4409</v>
      </c>
      <c r="H451" s="1521">
        <v>1</v>
      </c>
      <c r="I451" s="1521" t="s">
        <v>4096</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4410</v>
      </c>
      <c r="D452" s="1523">
        <v>1</v>
      </c>
      <c r="E452" s="1523">
        <v>1</v>
      </c>
      <c r="F452" s="1524">
        <v>2</v>
      </c>
      <c r="G452" s="1537" t="s">
        <v>4410</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4411</v>
      </c>
      <c r="D453" s="1523">
        <v>0</v>
      </c>
      <c r="E453" s="1523">
        <v>0</v>
      </c>
      <c r="F453" s="1524">
        <v>0</v>
      </c>
      <c r="G453" s="1537" t="s">
        <v>4411</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4412</v>
      </c>
      <c r="D454" s="1523">
        <v>0</v>
      </c>
      <c r="E454" s="1523">
        <v>0</v>
      </c>
      <c r="F454" s="1524">
        <v>0</v>
      </c>
      <c r="G454" s="1537" t="s">
        <v>4412</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4413</v>
      </c>
      <c r="D455" s="1523">
        <v>0</v>
      </c>
      <c r="E455" s="1523">
        <v>0</v>
      </c>
      <c r="F455" s="1524">
        <v>0</v>
      </c>
      <c r="G455" s="1537" t="s">
        <v>4413</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4414</v>
      </c>
      <c r="D456" s="1523">
        <v>1</v>
      </c>
      <c r="E456" s="1523">
        <v>0</v>
      </c>
      <c r="F456" s="1524">
        <v>1</v>
      </c>
      <c r="G456" s="1537" t="s">
        <v>4414</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4415</v>
      </c>
      <c r="D457" s="1523">
        <v>0</v>
      </c>
      <c r="E457" s="1523">
        <v>0</v>
      </c>
      <c r="F457" s="1524">
        <v>0</v>
      </c>
      <c r="G457" s="1537" t="s">
        <v>4415</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4416</v>
      </c>
      <c r="D458" s="1523">
        <v>0</v>
      </c>
      <c r="E458" s="1523">
        <v>0</v>
      </c>
      <c r="F458" s="1524">
        <v>0</v>
      </c>
      <c r="G458" s="1537" t="s">
        <v>4416</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4417</v>
      </c>
      <c r="D459" s="1523">
        <v>0</v>
      </c>
      <c r="E459" s="1523">
        <v>0</v>
      </c>
      <c r="F459" s="1524">
        <v>0</v>
      </c>
      <c r="G459" s="1537" t="s">
        <v>4417</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4418</v>
      </c>
      <c r="D460" s="1523">
        <v>0</v>
      </c>
      <c r="E460" s="1523">
        <v>0</v>
      </c>
      <c r="F460" s="1524">
        <v>0</v>
      </c>
      <c r="G460" s="1537" t="s">
        <v>4418</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4419</v>
      </c>
      <c r="D461" s="1523">
        <v>0</v>
      </c>
      <c r="E461" s="1523">
        <v>0</v>
      </c>
      <c r="F461" s="1524">
        <v>0</v>
      </c>
      <c r="G461" s="1537" t="s">
        <v>4419</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4420</v>
      </c>
      <c r="D462" s="1523">
        <v>0</v>
      </c>
      <c r="E462" s="1523">
        <v>0</v>
      </c>
      <c r="F462" s="1524">
        <v>0</v>
      </c>
      <c r="G462" s="1537" t="s">
        <v>4420</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4421</v>
      </c>
      <c r="D463" s="1523">
        <v>0</v>
      </c>
      <c r="E463" s="1523">
        <v>0</v>
      </c>
      <c r="F463" s="1524">
        <v>0</v>
      </c>
      <c r="G463" s="1537" t="s">
        <v>4421</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4422</v>
      </c>
      <c r="D464" s="1523">
        <v>0</v>
      </c>
      <c r="E464" s="1523">
        <v>0</v>
      </c>
      <c r="F464" s="1524">
        <v>0</v>
      </c>
      <c r="G464" s="1537" t="s">
        <v>4422</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4423</v>
      </c>
      <c r="D465" s="1523">
        <v>0</v>
      </c>
      <c r="E465" s="1523">
        <v>0</v>
      </c>
      <c r="F465" s="1524">
        <v>0</v>
      </c>
      <c r="G465" s="1537" t="s">
        <v>4423</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4424</v>
      </c>
      <c r="D466" s="1523">
        <v>0</v>
      </c>
      <c r="E466" s="1523">
        <v>0</v>
      </c>
      <c r="F466" s="1524">
        <v>0</v>
      </c>
      <c r="G466" s="1537" t="s">
        <v>4424</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4425</v>
      </c>
      <c r="D467" s="1523">
        <v>0</v>
      </c>
      <c r="E467" s="1523">
        <v>0</v>
      </c>
      <c r="F467" s="1524">
        <v>0</v>
      </c>
      <c r="G467" s="1537" t="s">
        <v>4425</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4426</v>
      </c>
      <c r="D468" s="1523">
        <v>0</v>
      </c>
      <c r="E468" s="1523">
        <v>0</v>
      </c>
      <c r="F468" s="1524">
        <v>0</v>
      </c>
      <c r="G468" s="1537" t="s">
        <v>4426</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4427</v>
      </c>
      <c r="D469" s="1523">
        <v>1</v>
      </c>
      <c r="E469" s="1523">
        <v>1</v>
      </c>
      <c r="F469" s="1524">
        <v>2</v>
      </c>
      <c r="G469" s="1537" t="s">
        <v>4427</v>
      </c>
      <c r="H469" s="1521">
        <v>1</v>
      </c>
      <c r="I469" s="1521" t="s">
        <v>4096</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4428</v>
      </c>
      <c r="D470" s="1523">
        <v>1</v>
      </c>
      <c r="E470" s="1523">
        <v>1</v>
      </c>
      <c r="F470" s="1524">
        <v>2</v>
      </c>
      <c r="G470" s="1537" t="s">
        <v>4428</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4429</v>
      </c>
      <c r="D471" s="1523">
        <v>1</v>
      </c>
      <c r="E471" s="1523">
        <v>1</v>
      </c>
      <c r="F471" s="1524">
        <v>2</v>
      </c>
      <c r="G471" s="1537" t="s">
        <v>4429</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4430</v>
      </c>
      <c r="D472" s="1523">
        <v>1</v>
      </c>
      <c r="E472" s="1523">
        <v>1</v>
      </c>
      <c r="F472" s="1524">
        <v>2</v>
      </c>
      <c r="G472" s="1537" t="s">
        <v>4430</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4431</v>
      </c>
      <c r="D473" s="1523" t="s">
        <v>4096</v>
      </c>
      <c r="E473" s="1523" t="s">
        <v>4096</v>
      </c>
      <c r="F473" s="1524">
        <v>0</v>
      </c>
      <c r="G473" s="1537" t="s">
        <v>4431</v>
      </c>
      <c r="H473" s="1521" t="s">
        <v>4096</v>
      </c>
      <c r="I473" s="1521" t="s">
        <v>4096</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4432</v>
      </c>
      <c r="D474" s="1523">
        <v>0</v>
      </c>
      <c r="E474" s="1523">
        <v>0</v>
      </c>
      <c r="F474" s="1524">
        <v>0</v>
      </c>
      <c r="G474" s="1537" t="s">
        <v>4432</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4433</v>
      </c>
      <c r="D475" s="1523">
        <v>0</v>
      </c>
      <c r="E475" s="1523">
        <v>0</v>
      </c>
      <c r="F475" s="1524">
        <v>0</v>
      </c>
      <c r="G475" s="1537" t="s">
        <v>4433</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4434</v>
      </c>
      <c r="D476" s="1523">
        <v>1</v>
      </c>
      <c r="E476" s="1523">
        <v>1</v>
      </c>
      <c r="F476" s="1524">
        <v>2</v>
      </c>
      <c r="G476" s="1537" t="s">
        <v>4434</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4435</v>
      </c>
      <c r="D477" s="1523">
        <v>0</v>
      </c>
      <c r="E477" s="1523">
        <v>0</v>
      </c>
      <c r="F477" s="1524">
        <v>0</v>
      </c>
      <c r="G477" s="1537" t="s">
        <v>4435</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4436</v>
      </c>
      <c r="D478" s="1523">
        <v>0</v>
      </c>
      <c r="E478" s="1523">
        <v>1</v>
      </c>
      <c r="F478" s="1524">
        <v>1</v>
      </c>
      <c r="G478" s="1537" t="s">
        <v>4436</v>
      </c>
      <c r="H478" s="1521">
        <v>0</v>
      </c>
      <c r="I478" s="1521" t="s">
        <v>4096</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4437</v>
      </c>
      <c r="D479" s="1523">
        <v>0</v>
      </c>
      <c r="E479" s="1523">
        <v>1</v>
      </c>
      <c r="F479" s="1524">
        <v>1</v>
      </c>
      <c r="G479" s="1537" t="s">
        <v>4437</v>
      </c>
      <c r="H479" s="1521">
        <v>0</v>
      </c>
      <c r="I479" s="1521" t="s">
        <v>4096</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4438</v>
      </c>
      <c r="D480" s="1523">
        <v>0</v>
      </c>
      <c r="E480" s="1523">
        <v>0</v>
      </c>
      <c r="F480" s="1524">
        <v>0</v>
      </c>
      <c r="G480" s="1537" t="s">
        <v>4438</v>
      </c>
      <c r="H480" s="1521">
        <v>0</v>
      </c>
      <c r="I480" s="1521" t="s">
        <v>4096</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4439</v>
      </c>
      <c r="D481" s="1523">
        <v>1</v>
      </c>
      <c r="E481" s="1523">
        <v>0</v>
      </c>
      <c r="F481" s="1524">
        <v>1</v>
      </c>
      <c r="G481" s="1537" t="s">
        <v>4439</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4440</v>
      </c>
      <c r="D482" s="1523">
        <v>0</v>
      </c>
      <c r="E482" s="1523">
        <v>0</v>
      </c>
      <c r="F482" s="1524">
        <v>0</v>
      </c>
      <c r="G482" s="1537" t="s">
        <v>4440</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4441</v>
      </c>
      <c r="D483" s="1523">
        <v>1</v>
      </c>
      <c r="E483" s="1523">
        <v>1</v>
      </c>
      <c r="F483" s="1524">
        <v>2</v>
      </c>
      <c r="G483" s="1537" t="s">
        <v>4441</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4442</v>
      </c>
      <c r="D484" s="1523">
        <v>0</v>
      </c>
      <c r="E484" s="1523">
        <v>0</v>
      </c>
      <c r="F484" s="1524">
        <v>0</v>
      </c>
      <c r="G484" s="1537" t="s">
        <v>4442</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4443</v>
      </c>
      <c r="D485" s="1523">
        <v>0</v>
      </c>
      <c r="E485" s="1523">
        <v>0</v>
      </c>
      <c r="F485" s="1524">
        <v>0</v>
      </c>
      <c r="G485" s="1537" t="s">
        <v>4443</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4444</v>
      </c>
      <c r="D486" s="1523">
        <v>0</v>
      </c>
      <c r="E486" s="1523">
        <v>0</v>
      </c>
      <c r="F486" s="1524">
        <v>0</v>
      </c>
      <c r="G486" s="1537" t="s">
        <v>4444</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4445</v>
      </c>
      <c r="D487" s="1523">
        <v>0</v>
      </c>
      <c r="E487" s="1523">
        <v>0</v>
      </c>
      <c r="F487" s="1524">
        <v>0</v>
      </c>
      <c r="G487" s="1537" t="s">
        <v>4445</v>
      </c>
      <c r="H487" s="1521">
        <v>0</v>
      </c>
      <c r="I487" s="1521" t="s">
        <v>4096</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4446</v>
      </c>
      <c r="D488" s="1523">
        <v>0</v>
      </c>
      <c r="E488" s="1523">
        <v>0</v>
      </c>
      <c r="F488" s="1524">
        <v>0</v>
      </c>
      <c r="G488" s="1537" t="s">
        <v>4446</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4447</v>
      </c>
      <c r="D489" s="1523">
        <v>0</v>
      </c>
      <c r="E489" s="1523">
        <v>0</v>
      </c>
      <c r="F489" s="1524">
        <v>0</v>
      </c>
      <c r="G489" s="1537" t="s">
        <v>4447</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4448</v>
      </c>
      <c r="D490" s="1523">
        <v>0</v>
      </c>
      <c r="E490" s="1523">
        <v>0</v>
      </c>
      <c r="F490" s="1524">
        <v>0</v>
      </c>
      <c r="G490" s="1537" t="s">
        <v>4448</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4449</v>
      </c>
      <c r="D491" s="1523">
        <v>0</v>
      </c>
      <c r="E491" s="1523">
        <v>0</v>
      </c>
      <c r="F491" s="1524">
        <v>0</v>
      </c>
      <c r="G491" s="1537" t="s">
        <v>4449</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4450</v>
      </c>
      <c r="D492" s="1523">
        <v>0</v>
      </c>
      <c r="E492" s="1523">
        <v>1</v>
      </c>
      <c r="F492" s="1524">
        <v>1</v>
      </c>
      <c r="G492" s="1537" t="s">
        <v>4450</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4451</v>
      </c>
      <c r="D493" s="1523">
        <v>0</v>
      </c>
      <c r="E493" s="1523">
        <v>0</v>
      </c>
      <c r="F493" s="1524">
        <v>0</v>
      </c>
      <c r="G493" s="1537" t="s">
        <v>4451</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4452</v>
      </c>
      <c r="D494" s="1523">
        <v>0</v>
      </c>
      <c r="E494" s="1523">
        <v>1</v>
      </c>
      <c r="F494" s="1524">
        <v>1</v>
      </c>
      <c r="G494" s="1537" t="s">
        <v>4452</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4453</v>
      </c>
      <c r="D495" s="1523">
        <v>0</v>
      </c>
      <c r="E495" s="1523">
        <v>0</v>
      </c>
      <c r="F495" s="1524">
        <v>0</v>
      </c>
      <c r="G495" s="1537" t="s">
        <v>4453</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4454</v>
      </c>
      <c r="D496" s="1523">
        <v>0</v>
      </c>
      <c r="E496" s="1523">
        <v>0</v>
      </c>
      <c r="F496" s="1524">
        <v>0</v>
      </c>
      <c r="G496" s="1537" t="s">
        <v>4454</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4455</v>
      </c>
      <c r="D497" s="1523">
        <v>0</v>
      </c>
      <c r="E497" s="1523">
        <v>0</v>
      </c>
      <c r="F497" s="1524">
        <v>0</v>
      </c>
      <c r="G497" s="1537" t="s">
        <v>4455</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4456</v>
      </c>
      <c r="D498" s="1523">
        <v>0</v>
      </c>
      <c r="E498" s="1523">
        <v>1</v>
      </c>
      <c r="F498" s="1524">
        <v>1</v>
      </c>
      <c r="G498" s="1537" t="s">
        <v>4456</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4457</v>
      </c>
      <c r="D499" s="1523">
        <v>0</v>
      </c>
      <c r="E499" s="1523">
        <v>0</v>
      </c>
      <c r="F499" s="1524">
        <v>0</v>
      </c>
      <c r="G499" s="1537" t="s">
        <v>4457</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4458</v>
      </c>
      <c r="D500" s="1523">
        <v>0</v>
      </c>
      <c r="E500" s="1523">
        <v>0</v>
      </c>
      <c r="F500" s="1524">
        <v>0</v>
      </c>
      <c r="G500" s="1537" t="s">
        <v>4458</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4459</v>
      </c>
      <c r="D501" s="1523">
        <v>1</v>
      </c>
      <c r="E501" s="1523">
        <v>1</v>
      </c>
      <c r="F501" s="1524">
        <v>2</v>
      </c>
      <c r="G501" s="1537" t="s">
        <v>4459</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4460</v>
      </c>
      <c r="D502" s="1523">
        <v>1</v>
      </c>
      <c r="E502" s="1523">
        <v>1</v>
      </c>
      <c r="F502" s="1524">
        <v>2</v>
      </c>
      <c r="G502" s="1537" t="s">
        <v>4460</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4461</v>
      </c>
      <c r="D503" s="1523">
        <v>1</v>
      </c>
      <c r="E503" s="1523">
        <v>1</v>
      </c>
      <c r="F503" s="1524">
        <v>2</v>
      </c>
      <c r="G503" s="1537" t="s">
        <v>4461</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4462</v>
      </c>
      <c r="D504" s="1523">
        <v>0</v>
      </c>
      <c r="E504" s="1523">
        <v>1</v>
      </c>
      <c r="F504" s="1524">
        <v>1</v>
      </c>
      <c r="G504" s="1537" t="s">
        <v>4462</v>
      </c>
      <c r="H504" s="1521">
        <v>0</v>
      </c>
      <c r="I504" s="1521" t="s">
        <v>4096</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4463</v>
      </c>
      <c r="D505" s="1523">
        <v>0</v>
      </c>
      <c r="E505" s="1523">
        <v>0</v>
      </c>
      <c r="F505" s="1524">
        <v>0</v>
      </c>
      <c r="G505" s="1537" t="s">
        <v>4463</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4464</v>
      </c>
      <c r="D506" s="1523">
        <v>0</v>
      </c>
      <c r="E506" s="1523">
        <v>0</v>
      </c>
      <c r="F506" s="1524">
        <v>0</v>
      </c>
      <c r="G506" s="1537" t="s">
        <v>4464</v>
      </c>
      <c r="H506" s="1521">
        <v>0</v>
      </c>
      <c r="I506" s="1521" t="s">
        <v>4096</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4465</v>
      </c>
      <c r="D507" s="1523" t="s">
        <v>4096</v>
      </c>
      <c r="E507" s="1523" t="s">
        <v>4096</v>
      </c>
      <c r="F507" s="1524">
        <v>0</v>
      </c>
      <c r="G507" s="1537" t="s">
        <v>4465</v>
      </c>
      <c r="H507" s="1521" t="s">
        <v>4096</v>
      </c>
      <c r="I507" s="1521" t="s">
        <v>4096</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4466</v>
      </c>
      <c r="D508" s="1523">
        <v>0</v>
      </c>
      <c r="E508" s="1523">
        <v>0</v>
      </c>
      <c r="F508" s="1524">
        <v>0</v>
      </c>
      <c r="G508" s="1537" t="s">
        <v>4466</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4467</v>
      </c>
      <c r="D509" s="1523">
        <v>0</v>
      </c>
      <c r="E509" s="1523">
        <v>0</v>
      </c>
      <c r="F509" s="1524">
        <v>0</v>
      </c>
      <c r="G509" s="1537" t="s">
        <v>4467</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4468</v>
      </c>
      <c r="D510" s="1523">
        <v>0</v>
      </c>
      <c r="E510" s="1523">
        <v>0</v>
      </c>
      <c r="F510" s="1524">
        <v>0</v>
      </c>
      <c r="G510" s="1537" t="s">
        <v>4468</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4469</v>
      </c>
      <c r="D511" s="1523">
        <v>0</v>
      </c>
      <c r="E511" s="1523">
        <v>1</v>
      </c>
      <c r="F511" s="1524">
        <v>1</v>
      </c>
      <c r="G511" s="1537" t="s">
        <v>4469</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4470</v>
      </c>
      <c r="D512" s="1523">
        <v>1</v>
      </c>
      <c r="E512" s="1523">
        <v>1</v>
      </c>
      <c r="F512" s="1524">
        <v>2</v>
      </c>
      <c r="G512" s="1537" t="s">
        <v>4470</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4471</v>
      </c>
      <c r="D513" s="1523">
        <v>0</v>
      </c>
      <c r="E513" s="1523">
        <v>1</v>
      </c>
      <c r="F513" s="1524">
        <v>1</v>
      </c>
      <c r="G513" s="1537" t="s">
        <v>4471</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4472</v>
      </c>
      <c r="D514" s="1523">
        <v>0</v>
      </c>
      <c r="E514" s="1523">
        <v>0</v>
      </c>
      <c r="F514" s="1524">
        <v>0</v>
      </c>
      <c r="G514" s="1537" t="s">
        <v>4472</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4473</v>
      </c>
      <c r="D515" s="1523">
        <v>0</v>
      </c>
      <c r="E515" s="1523">
        <v>1</v>
      </c>
      <c r="F515" s="1524">
        <v>1</v>
      </c>
      <c r="G515" s="1537" t="s">
        <v>4473</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4474</v>
      </c>
      <c r="D516" s="1523">
        <v>0</v>
      </c>
      <c r="E516" s="1523">
        <v>0</v>
      </c>
      <c r="F516" s="1524">
        <v>0</v>
      </c>
      <c r="G516" s="1537" t="s">
        <v>4474</v>
      </c>
      <c r="H516" s="1521">
        <v>0</v>
      </c>
      <c r="I516" s="1521" t="s">
        <v>4096</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4475</v>
      </c>
      <c r="D517" s="1523">
        <v>0</v>
      </c>
      <c r="E517" s="1523">
        <v>1</v>
      </c>
      <c r="F517" s="1524">
        <v>1</v>
      </c>
      <c r="G517" s="1537" t="s">
        <v>4475</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4476</v>
      </c>
      <c r="D518" s="1523">
        <v>0</v>
      </c>
      <c r="E518" s="1523">
        <v>0</v>
      </c>
      <c r="F518" s="1524">
        <v>0</v>
      </c>
      <c r="G518" s="1537" t="s">
        <v>4476</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4477</v>
      </c>
      <c r="D519" s="1523">
        <v>0</v>
      </c>
      <c r="E519" s="1523">
        <v>0</v>
      </c>
      <c r="F519" s="1524">
        <v>0</v>
      </c>
      <c r="G519" s="1537" t="s">
        <v>4477</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4478</v>
      </c>
      <c r="D520" s="1523">
        <v>0</v>
      </c>
      <c r="E520" s="1523">
        <v>1</v>
      </c>
      <c r="F520" s="1524">
        <v>1</v>
      </c>
      <c r="G520" s="1537" t="s">
        <v>4478</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4479</v>
      </c>
      <c r="D521" s="1523">
        <v>1</v>
      </c>
      <c r="E521" s="1523">
        <v>1</v>
      </c>
      <c r="F521" s="1524">
        <v>2</v>
      </c>
      <c r="G521" s="1537" t="s">
        <v>4479</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4480</v>
      </c>
      <c r="D522" s="1523">
        <v>0</v>
      </c>
      <c r="E522" s="1523">
        <v>1</v>
      </c>
      <c r="F522" s="1524">
        <v>1</v>
      </c>
      <c r="G522" s="1537" t="s">
        <v>4480</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4481</v>
      </c>
      <c r="D523" s="1523">
        <v>0</v>
      </c>
      <c r="E523" s="1523">
        <v>1</v>
      </c>
      <c r="F523" s="1524">
        <v>1</v>
      </c>
      <c r="G523" s="1537" t="s">
        <v>4481</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4482</v>
      </c>
      <c r="D524" s="1523">
        <v>0</v>
      </c>
      <c r="E524" s="1523">
        <v>1</v>
      </c>
      <c r="F524" s="1524">
        <v>1</v>
      </c>
      <c r="G524" s="1537" t="s">
        <v>4482</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4483</v>
      </c>
      <c r="D525" s="1523">
        <v>1</v>
      </c>
      <c r="E525" s="1523">
        <v>1</v>
      </c>
      <c r="F525" s="1524">
        <v>2</v>
      </c>
      <c r="G525" s="1537" t="s">
        <v>4483</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4484</v>
      </c>
      <c r="D526" s="1523">
        <v>1</v>
      </c>
      <c r="E526" s="1523">
        <v>1</v>
      </c>
      <c r="F526" s="1524">
        <v>2</v>
      </c>
      <c r="G526" s="1537" t="s">
        <v>4484</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4485</v>
      </c>
      <c r="D527" s="1523">
        <v>0</v>
      </c>
      <c r="E527" s="1523">
        <v>0</v>
      </c>
      <c r="F527" s="1524">
        <v>0</v>
      </c>
      <c r="G527" s="1537" t="s">
        <v>4485</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4486</v>
      </c>
      <c r="D528" s="1523">
        <v>0</v>
      </c>
      <c r="E528" s="1523">
        <v>0</v>
      </c>
      <c r="F528" s="1524">
        <v>0</v>
      </c>
      <c r="G528" s="1537" t="s">
        <v>4486</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4487</v>
      </c>
      <c r="D529" s="1523">
        <v>1</v>
      </c>
      <c r="E529" s="1523">
        <v>0</v>
      </c>
      <c r="F529" s="1524">
        <v>1</v>
      </c>
      <c r="G529" s="1537" t="s">
        <v>4487</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4488</v>
      </c>
      <c r="D530" s="1523">
        <v>1</v>
      </c>
      <c r="E530" s="1523">
        <v>1</v>
      </c>
      <c r="F530" s="1524">
        <v>2</v>
      </c>
      <c r="G530" s="1537" t="s">
        <v>4488</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4489</v>
      </c>
      <c r="D531" s="1523">
        <v>1</v>
      </c>
      <c r="E531" s="1523">
        <v>1</v>
      </c>
      <c r="F531" s="1524">
        <v>2</v>
      </c>
      <c r="G531" s="1537" t="s">
        <v>4489</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4490</v>
      </c>
      <c r="D532" s="1523">
        <v>1</v>
      </c>
      <c r="E532" s="1523">
        <v>1</v>
      </c>
      <c r="F532" s="1524">
        <v>2</v>
      </c>
      <c r="G532" s="1537" t="s">
        <v>4490</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4491</v>
      </c>
      <c r="D533" s="1523">
        <v>1</v>
      </c>
      <c r="E533" s="1523">
        <v>1</v>
      </c>
      <c r="F533" s="1524">
        <v>2</v>
      </c>
      <c r="G533" s="1537" t="s">
        <v>4491</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4492</v>
      </c>
      <c r="D534" s="1523">
        <v>1</v>
      </c>
      <c r="E534" s="1523">
        <v>1</v>
      </c>
      <c r="F534" s="1524">
        <v>2</v>
      </c>
      <c r="G534" s="1537" t="s">
        <v>4492</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4493</v>
      </c>
      <c r="D535" s="1523">
        <v>0</v>
      </c>
      <c r="E535" s="1523">
        <v>0</v>
      </c>
      <c r="F535" s="1524">
        <v>0</v>
      </c>
      <c r="G535" s="1537" t="s">
        <v>4493</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4494</v>
      </c>
      <c r="D536" s="1523">
        <v>1</v>
      </c>
      <c r="E536" s="1523">
        <v>0</v>
      </c>
      <c r="F536" s="1524">
        <v>1</v>
      </c>
      <c r="G536" s="1537" t="s">
        <v>4494</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4495</v>
      </c>
      <c r="D537" s="1523">
        <v>0</v>
      </c>
      <c r="E537" s="1523">
        <v>0</v>
      </c>
      <c r="F537" s="1524">
        <v>0</v>
      </c>
      <c r="G537" s="1537" t="s">
        <v>4495</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4496</v>
      </c>
      <c r="D538" s="1523">
        <v>0</v>
      </c>
      <c r="E538" s="1523">
        <v>0</v>
      </c>
      <c r="F538" s="1524">
        <v>0</v>
      </c>
      <c r="G538" s="1537" t="s">
        <v>4496</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4497</v>
      </c>
      <c r="D539" s="1523">
        <v>0</v>
      </c>
      <c r="E539" s="1523">
        <v>0</v>
      </c>
      <c r="F539" s="1524">
        <v>0</v>
      </c>
      <c r="G539" s="1537" t="s">
        <v>4497</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4498</v>
      </c>
      <c r="D540" s="1523">
        <v>0</v>
      </c>
      <c r="E540" s="1523">
        <v>0</v>
      </c>
      <c r="F540" s="1524">
        <v>0</v>
      </c>
      <c r="G540" s="1537" t="s">
        <v>4498</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4499</v>
      </c>
      <c r="D541" s="1523">
        <v>0</v>
      </c>
      <c r="E541" s="1523">
        <v>0</v>
      </c>
      <c r="F541" s="1524">
        <v>0</v>
      </c>
      <c r="G541" s="1537" t="s">
        <v>4499</v>
      </c>
      <c r="H541" s="1521">
        <v>0</v>
      </c>
      <c r="I541" s="1521" t="s">
        <v>4096</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4500</v>
      </c>
      <c r="D542" s="1523">
        <v>1</v>
      </c>
      <c r="E542" s="1523">
        <v>1</v>
      </c>
      <c r="F542" s="1524">
        <v>2</v>
      </c>
      <c r="G542" s="1537" t="s">
        <v>4500</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4501</v>
      </c>
      <c r="D543" s="1523">
        <v>0</v>
      </c>
      <c r="E543" s="1523">
        <v>0</v>
      </c>
      <c r="F543" s="1524">
        <v>0</v>
      </c>
      <c r="G543" s="1537" t="s">
        <v>4501</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4502</v>
      </c>
      <c r="D544" s="1523">
        <v>0</v>
      </c>
      <c r="E544" s="1523">
        <v>0</v>
      </c>
      <c r="F544" s="1524">
        <v>0</v>
      </c>
      <c r="G544" s="1537" t="s">
        <v>4502</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4503</v>
      </c>
      <c r="D545" s="1523">
        <v>0</v>
      </c>
      <c r="E545" s="1523">
        <v>0</v>
      </c>
      <c r="F545" s="1524">
        <v>0</v>
      </c>
      <c r="G545" s="1537" t="s">
        <v>4503</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4504</v>
      </c>
      <c r="D546" s="1523">
        <v>0</v>
      </c>
      <c r="E546" s="1523">
        <v>0</v>
      </c>
      <c r="F546" s="1524">
        <v>0</v>
      </c>
      <c r="G546" s="1537" t="s">
        <v>4504</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4505</v>
      </c>
      <c r="D547" s="1523">
        <v>0</v>
      </c>
      <c r="E547" s="1523">
        <v>0</v>
      </c>
      <c r="F547" s="1524">
        <v>0</v>
      </c>
      <c r="G547" s="1537" t="s">
        <v>4505</v>
      </c>
      <c r="H547" s="1521">
        <v>0</v>
      </c>
      <c r="I547" s="1521" t="s">
        <v>4096</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4506</v>
      </c>
      <c r="D548" s="1523">
        <v>0</v>
      </c>
      <c r="E548" s="1523">
        <v>0</v>
      </c>
      <c r="F548" s="1524">
        <v>0</v>
      </c>
      <c r="G548" s="1537" t="s">
        <v>4506</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4507</v>
      </c>
      <c r="D549" s="1523">
        <v>0</v>
      </c>
      <c r="E549" s="1523">
        <v>0</v>
      </c>
      <c r="F549" s="1524">
        <v>0</v>
      </c>
      <c r="G549" s="1537" t="s">
        <v>4507</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4508</v>
      </c>
      <c r="D550" s="1523">
        <v>0</v>
      </c>
      <c r="E550" s="1523">
        <v>0</v>
      </c>
      <c r="F550" s="1524">
        <v>0</v>
      </c>
      <c r="G550" s="1537" t="s">
        <v>4508</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4509</v>
      </c>
      <c r="D551" s="1523">
        <v>0</v>
      </c>
      <c r="E551" s="1523">
        <v>0</v>
      </c>
      <c r="F551" s="1524">
        <v>0</v>
      </c>
      <c r="G551" s="1537" t="s">
        <v>4509</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4510</v>
      </c>
      <c r="D552" s="1523">
        <v>0</v>
      </c>
      <c r="E552" s="1523">
        <v>0</v>
      </c>
      <c r="F552" s="1524">
        <v>0</v>
      </c>
      <c r="G552" s="1537" t="s">
        <v>4510</v>
      </c>
      <c r="H552" s="1521">
        <v>0</v>
      </c>
      <c r="I552" s="1521" t="s">
        <v>4096</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4511</v>
      </c>
      <c r="D553" s="1523">
        <v>0</v>
      </c>
      <c r="E553" s="1523">
        <v>0</v>
      </c>
      <c r="F553" s="1524">
        <v>0</v>
      </c>
      <c r="G553" s="1537" t="s">
        <v>4511</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4512</v>
      </c>
      <c r="D554" s="1523">
        <v>0</v>
      </c>
      <c r="E554" s="1523">
        <v>0</v>
      </c>
      <c r="F554" s="1524">
        <v>0</v>
      </c>
      <c r="G554" s="1537" t="s">
        <v>4512</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4513</v>
      </c>
      <c r="D555" s="1523">
        <v>1</v>
      </c>
      <c r="E555" s="1523">
        <v>1</v>
      </c>
      <c r="F555" s="1524">
        <v>2</v>
      </c>
      <c r="G555" s="1537" t="s">
        <v>4513</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4514</v>
      </c>
      <c r="D556" s="1523">
        <v>1</v>
      </c>
      <c r="E556" s="1523">
        <v>1</v>
      </c>
      <c r="F556" s="1524">
        <v>2</v>
      </c>
      <c r="G556" s="1537" t="s">
        <v>4514</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4515</v>
      </c>
      <c r="D557" s="1523">
        <v>0</v>
      </c>
      <c r="E557" s="1523">
        <v>0</v>
      </c>
      <c r="F557" s="1524">
        <v>0</v>
      </c>
      <c r="G557" s="1537" t="s">
        <v>4515</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4516</v>
      </c>
      <c r="D558" s="1523">
        <v>0</v>
      </c>
      <c r="E558" s="1523">
        <v>0</v>
      </c>
      <c r="F558" s="1524">
        <v>0</v>
      </c>
      <c r="G558" s="1537" t="s">
        <v>4516</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4517</v>
      </c>
      <c r="D559" s="1523">
        <v>1</v>
      </c>
      <c r="E559" s="1523">
        <v>0</v>
      </c>
      <c r="F559" s="1524">
        <v>1</v>
      </c>
      <c r="G559" s="1537" t="s">
        <v>4517</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4518</v>
      </c>
      <c r="D560" s="1523">
        <v>0</v>
      </c>
      <c r="E560" s="1523">
        <v>0</v>
      </c>
      <c r="F560" s="1524">
        <v>0</v>
      </c>
      <c r="G560" s="1537" t="s">
        <v>4518</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4519</v>
      </c>
      <c r="D561" s="1523">
        <v>0</v>
      </c>
      <c r="E561" s="1523">
        <v>0</v>
      </c>
      <c r="F561" s="1524">
        <v>0</v>
      </c>
      <c r="G561" s="1537" t="s">
        <v>4519</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4520</v>
      </c>
      <c r="D562" s="1523">
        <v>0</v>
      </c>
      <c r="E562" s="1523">
        <v>0</v>
      </c>
      <c r="F562" s="1524">
        <v>0</v>
      </c>
      <c r="G562" s="1537" t="s">
        <v>4520</v>
      </c>
      <c r="H562" s="1521">
        <v>0</v>
      </c>
      <c r="I562" s="1521" t="s">
        <v>4096</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4521</v>
      </c>
      <c r="D563" s="1523">
        <v>0</v>
      </c>
      <c r="E563" s="1523">
        <v>0</v>
      </c>
      <c r="F563" s="1524">
        <v>0</v>
      </c>
      <c r="G563" s="1537" t="s">
        <v>4521</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4522</v>
      </c>
      <c r="D564" s="1523">
        <v>0</v>
      </c>
      <c r="E564" s="1523">
        <v>0</v>
      </c>
      <c r="F564" s="1524">
        <v>0</v>
      </c>
      <c r="G564" s="1537" t="s">
        <v>4522</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4523</v>
      </c>
      <c r="D565" s="1523">
        <v>0</v>
      </c>
      <c r="E565" s="1523">
        <v>0</v>
      </c>
      <c r="F565" s="1524">
        <v>0</v>
      </c>
      <c r="G565" s="1537" t="s">
        <v>4523</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4524</v>
      </c>
      <c r="D566" s="1523">
        <v>0</v>
      </c>
      <c r="E566" s="1523">
        <v>0</v>
      </c>
      <c r="F566" s="1524">
        <v>0</v>
      </c>
      <c r="G566" s="1537" t="s">
        <v>4524</v>
      </c>
      <c r="H566" s="1521">
        <v>0</v>
      </c>
      <c r="I566" s="1521" t="s">
        <v>4096</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4525</v>
      </c>
      <c r="D567" s="1523">
        <v>0</v>
      </c>
      <c r="E567" s="1523">
        <v>0</v>
      </c>
      <c r="F567" s="1524">
        <v>0</v>
      </c>
      <c r="G567" s="1537" t="s">
        <v>4525</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4526</v>
      </c>
      <c r="D568" s="1523">
        <v>0</v>
      </c>
      <c r="E568" s="1523">
        <v>0</v>
      </c>
      <c r="F568" s="1524">
        <v>0</v>
      </c>
      <c r="G568" s="1537" t="s">
        <v>4526</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4527</v>
      </c>
      <c r="D569" s="1523">
        <v>1</v>
      </c>
      <c r="E569" s="1523">
        <v>0</v>
      </c>
      <c r="F569" s="1524">
        <v>1</v>
      </c>
      <c r="G569" s="1537" t="s">
        <v>4527</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4528</v>
      </c>
      <c r="D570" s="1523">
        <v>0</v>
      </c>
      <c r="E570" s="1523">
        <v>0</v>
      </c>
      <c r="F570" s="1524">
        <v>0</v>
      </c>
      <c r="G570" s="1537" t="s">
        <v>4528</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4529</v>
      </c>
      <c r="D571" s="1523">
        <v>0</v>
      </c>
      <c r="E571" s="1523">
        <v>0</v>
      </c>
      <c r="F571" s="1524">
        <v>0</v>
      </c>
      <c r="G571" s="1537" t="s">
        <v>4529</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4530</v>
      </c>
      <c r="D572" s="1523">
        <v>0</v>
      </c>
      <c r="E572" s="1523">
        <v>0</v>
      </c>
      <c r="F572" s="1524">
        <v>0</v>
      </c>
      <c r="G572" s="1537" t="s">
        <v>4530</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4531</v>
      </c>
      <c r="D573" s="1523">
        <v>0</v>
      </c>
      <c r="E573" s="1523">
        <v>0</v>
      </c>
      <c r="F573" s="1524">
        <v>0</v>
      </c>
      <c r="G573" s="1537" t="s">
        <v>4531</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4532</v>
      </c>
      <c r="D574" s="1523">
        <v>0</v>
      </c>
      <c r="E574" s="1523">
        <v>0</v>
      </c>
      <c r="F574" s="1524">
        <v>0</v>
      </c>
      <c r="G574" s="1537" t="s">
        <v>4532</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4533</v>
      </c>
      <c r="D575" s="1523">
        <v>0</v>
      </c>
      <c r="E575" s="1523">
        <v>1</v>
      </c>
      <c r="F575" s="1524">
        <v>1</v>
      </c>
      <c r="G575" s="1537" t="s">
        <v>4533</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4534</v>
      </c>
      <c r="D576" s="1523">
        <v>0</v>
      </c>
      <c r="E576" s="1523">
        <v>1</v>
      </c>
      <c r="F576" s="1524">
        <v>1</v>
      </c>
      <c r="G576" s="1537" t="s">
        <v>4534</v>
      </c>
      <c r="H576" s="1521">
        <v>0</v>
      </c>
      <c r="I576" s="1521" t="s">
        <v>4096</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4535</v>
      </c>
      <c r="D577" s="1523">
        <v>0</v>
      </c>
      <c r="E577" s="1523">
        <v>0</v>
      </c>
      <c r="F577" s="1524">
        <v>0</v>
      </c>
      <c r="G577" s="1537" t="s">
        <v>4535</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4536</v>
      </c>
      <c r="D578" s="1523">
        <v>0</v>
      </c>
      <c r="E578" s="1523">
        <v>0</v>
      </c>
      <c r="F578" s="1524">
        <v>0</v>
      </c>
      <c r="G578" s="1537" t="s">
        <v>4536</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4537</v>
      </c>
      <c r="D579" s="1523">
        <v>0</v>
      </c>
      <c r="E579" s="1523">
        <v>0</v>
      </c>
      <c r="F579" s="1524">
        <v>0</v>
      </c>
      <c r="G579" s="1537" t="s">
        <v>4537</v>
      </c>
      <c r="H579" s="1521" t="s">
        <v>4096</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4538</v>
      </c>
      <c r="D580" s="1523">
        <v>0</v>
      </c>
      <c r="E580" s="1523">
        <v>0</v>
      </c>
      <c r="F580" s="1524">
        <v>0</v>
      </c>
      <c r="G580" s="1537" t="s">
        <v>4538</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4539</v>
      </c>
      <c r="D581" s="1523">
        <v>0</v>
      </c>
      <c r="E581" s="1523">
        <v>0</v>
      </c>
      <c r="F581" s="1524">
        <v>0</v>
      </c>
      <c r="G581" s="1537" t="s">
        <v>4539</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4540</v>
      </c>
      <c r="D582" s="1523">
        <v>0</v>
      </c>
      <c r="E582" s="1523">
        <v>0</v>
      </c>
      <c r="F582" s="1524">
        <v>0</v>
      </c>
      <c r="G582" s="1537" t="s">
        <v>4540</v>
      </c>
      <c r="H582" s="1521">
        <v>0</v>
      </c>
      <c r="I582" s="1521" t="s">
        <v>4096</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4541</v>
      </c>
      <c r="D583" s="1523">
        <v>0</v>
      </c>
      <c r="E583" s="1523">
        <v>0</v>
      </c>
      <c r="F583" s="1524">
        <v>0</v>
      </c>
      <c r="G583" s="1537" t="s">
        <v>4541</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4542</v>
      </c>
      <c r="D584" s="1523">
        <v>0</v>
      </c>
      <c r="E584" s="1523">
        <v>0</v>
      </c>
      <c r="F584" s="1524">
        <v>0</v>
      </c>
      <c r="G584" s="1537" t="s">
        <v>4542</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4543</v>
      </c>
      <c r="D585" s="1523">
        <v>1</v>
      </c>
      <c r="E585" s="1523">
        <v>0</v>
      </c>
      <c r="F585" s="1524">
        <v>1</v>
      </c>
      <c r="G585" s="1537" t="s">
        <v>4543</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4544</v>
      </c>
      <c r="D586" s="1523" t="s">
        <v>4096</v>
      </c>
      <c r="E586" s="1523" t="s">
        <v>4096</v>
      </c>
      <c r="F586" s="1524">
        <v>0</v>
      </c>
      <c r="G586" s="1537" t="s">
        <v>4544</v>
      </c>
      <c r="H586" s="1521" t="s">
        <v>4096</v>
      </c>
      <c r="I586" s="1521" t="s">
        <v>4096</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4545</v>
      </c>
      <c r="D587" s="1523">
        <v>1</v>
      </c>
      <c r="E587" s="1523">
        <v>1</v>
      </c>
      <c r="F587" s="1524">
        <v>2</v>
      </c>
      <c r="G587" s="1537" t="s">
        <v>4545</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4546</v>
      </c>
      <c r="D588" s="1523">
        <v>1</v>
      </c>
      <c r="E588" s="1523">
        <v>0</v>
      </c>
      <c r="F588" s="1524">
        <v>1</v>
      </c>
      <c r="G588" s="1537" t="s">
        <v>4546</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4547</v>
      </c>
      <c r="D589" s="1523">
        <v>1</v>
      </c>
      <c r="E589" s="1523">
        <v>1</v>
      </c>
      <c r="F589" s="1524">
        <v>2</v>
      </c>
      <c r="G589" s="1537" t="s">
        <v>4547</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4548</v>
      </c>
      <c r="D590" s="1523">
        <v>1</v>
      </c>
      <c r="E590" s="1523">
        <v>1</v>
      </c>
      <c r="F590" s="1524">
        <v>2</v>
      </c>
      <c r="G590" s="1537" t="s">
        <v>4548</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4549</v>
      </c>
      <c r="D591" s="1523">
        <v>1</v>
      </c>
      <c r="E591" s="1523">
        <v>1</v>
      </c>
      <c r="F591" s="1524">
        <v>2</v>
      </c>
      <c r="G591" s="1537" t="s">
        <v>4549</v>
      </c>
      <c r="H591" s="1521">
        <v>0</v>
      </c>
      <c r="I591" s="1521" t="s">
        <v>4096</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4550</v>
      </c>
      <c r="D592" s="1523">
        <v>1</v>
      </c>
      <c r="E592" s="1523">
        <v>1</v>
      </c>
      <c r="F592" s="1524">
        <v>2</v>
      </c>
      <c r="G592" s="1537" t="s">
        <v>4550</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4551</v>
      </c>
      <c r="D593" s="1523">
        <v>1</v>
      </c>
      <c r="E593" s="1523">
        <v>0</v>
      </c>
      <c r="F593" s="1524">
        <v>1</v>
      </c>
      <c r="G593" s="1537" t="s">
        <v>4551</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4552</v>
      </c>
      <c r="D594" s="1523">
        <v>1</v>
      </c>
      <c r="E594" s="1523">
        <v>1</v>
      </c>
      <c r="F594" s="1524">
        <v>2</v>
      </c>
      <c r="G594" s="1537" t="s">
        <v>4552</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4553</v>
      </c>
      <c r="D595" s="1523">
        <v>0</v>
      </c>
      <c r="E595" s="1523">
        <v>0</v>
      </c>
      <c r="F595" s="1524">
        <v>0</v>
      </c>
      <c r="G595" s="1537" t="s">
        <v>4553</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4554</v>
      </c>
      <c r="D596" s="1523">
        <v>1</v>
      </c>
      <c r="E596" s="1523">
        <v>1</v>
      </c>
      <c r="F596" s="1524">
        <v>2</v>
      </c>
      <c r="G596" s="1537" t="s">
        <v>4554</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4555</v>
      </c>
      <c r="D597" s="1523">
        <v>1</v>
      </c>
      <c r="E597" s="1523">
        <v>1</v>
      </c>
      <c r="F597" s="1524">
        <v>2</v>
      </c>
      <c r="G597" s="1537" t="s">
        <v>4555</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4556</v>
      </c>
      <c r="D598" s="1523">
        <v>1</v>
      </c>
      <c r="E598" s="1523">
        <v>1</v>
      </c>
      <c r="F598" s="1524">
        <v>2</v>
      </c>
      <c r="G598" s="1537" t="s">
        <v>4556</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4557</v>
      </c>
      <c r="D599" s="1523">
        <v>1</v>
      </c>
      <c r="E599" s="1523">
        <v>1</v>
      </c>
      <c r="F599" s="1524">
        <v>2</v>
      </c>
      <c r="G599" s="1537" t="s">
        <v>4557</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4558</v>
      </c>
      <c r="D600" s="1523">
        <v>1</v>
      </c>
      <c r="E600" s="1523">
        <v>1</v>
      </c>
      <c r="F600" s="1524">
        <v>2</v>
      </c>
      <c r="G600" s="1537" t="s">
        <v>4558</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4559</v>
      </c>
      <c r="D601" s="1523">
        <v>1</v>
      </c>
      <c r="E601" s="1523">
        <v>1</v>
      </c>
      <c r="F601" s="1524">
        <v>2</v>
      </c>
      <c r="G601" s="1537" t="s">
        <v>4559</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4560</v>
      </c>
      <c r="D602" s="1523">
        <v>1</v>
      </c>
      <c r="E602" s="1523">
        <v>1</v>
      </c>
      <c r="F602" s="1524">
        <v>2</v>
      </c>
      <c r="G602" s="1537" t="s">
        <v>4560</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4561</v>
      </c>
      <c r="D603" s="1523">
        <v>1</v>
      </c>
      <c r="E603" s="1523">
        <v>1</v>
      </c>
      <c r="F603" s="1524">
        <v>2</v>
      </c>
      <c r="G603" s="1537" t="s">
        <v>4561</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4562</v>
      </c>
      <c r="D604" s="1523">
        <v>1</v>
      </c>
      <c r="E604" s="1523">
        <v>1</v>
      </c>
      <c r="F604" s="1524">
        <v>2</v>
      </c>
      <c r="G604" s="1537" t="s">
        <v>4562</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4563</v>
      </c>
      <c r="D605" s="1523">
        <v>1</v>
      </c>
      <c r="E605" s="1523">
        <v>1</v>
      </c>
      <c r="F605" s="1524">
        <v>2</v>
      </c>
      <c r="G605" s="1537" t="s">
        <v>4563</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4564</v>
      </c>
      <c r="D606" s="1523">
        <v>0</v>
      </c>
      <c r="E606" s="1523">
        <v>1</v>
      </c>
      <c r="F606" s="1524">
        <v>1</v>
      </c>
      <c r="G606" s="1537" t="s">
        <v>4564</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4565</v>
      </c>
      <c r="D607" s="1523">
        <v>0</v>
      </c>
      <c r="E607" s="1523">
        <v>0</v>
      </c>
      <c r="F607" s="1524">
        <v>0</v>
      </c>
      <c r="G607" s="1537" t="s">
        <v>4565</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4566</v>
      </c>
      <c r="D608" s="1523">
        <v>0</v>
      </c>
      <c r="E608" s="1523">
        <v>0</v>
      </c>
      <c r="F608" s="1524">
        <v>0</v>
      </c>
      <c r="G608" s="1537" t="s">
        <v>4566</v>
      </c>
      <c r="H608" s="1521">
        <v>0</v>
      </c>
      <c r="I608" s="1521" t="s">
        <v>4096</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4567</v>
      </c>
      <c r="D609" s="1523">
        <v>1</v>
      </c>
      <c r="E609" s="1523">
        <v>1</v>
      </c>
      <c r="F609" s="1524">
        <v>2</v>
      </c>
      <c r="G609" s="1537" t="s">
        <v>4567</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4568</v>
      </c>
      <c r="D610" s="1523">
        <v>0</v>
      </c>
      <c r="E610" s="1523">
        <v>0</v>
      </c>
      <c r="F610" s="1524">
        <v>0</v>
      </c>
      <c r="G610" s="1537" t="s">
        <v>4568</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4569</v>
      </c>
      <c r="D611" s="1523" t="s">
        <v>4096</v>
      </c>
      <c r="E611" s="1523" t="s">
        <v>4096</v>
      </c>
      <c r="F611" s="1524">
        <v>0</v>
      </c>
      <c r="G611" s="1537" t="s">
        <v>4569</v>
      </c>
      <c r="H611" s="1521" t="s">
        <v>4096</v>
      </c>
      <c r="I611" s="1521" t="s">
        <v>4096</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4570</v>
      </c>
      <c r="D612" s="1523" t="s">
        <v>4096</v>
      </c>
      <c r="E612" s="1523" t="s">
        <v>4096</v>
      </c>
      <c r="F612" s="1524">
        <v>0</v>
      </c>
      <c r="G612" s="1537" t="s">
        <v>4570</v>
      </c>
      <c r="H612" s="1521" t="s">
        <v>4096</v>
      </c>
      <c r="I612" s="1521" t="s">
        <v>4096</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4571</v>
      </c>
      <c r="D613" s="1523">
        <v>0</v>
      </c>
      <c r="E613" s="1523">
        <v>0</v>
      </c>
      <c r="F613" s="1524">
        <v>0</v>
      </c>
      <c r="G613" s="1537" t="s">
        <v>4571</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4572</v>
      </c>
      <c r="D614" s="1523">
        <v>0</v>
      </c>
      <c r="E614" s="1523">
        <v>1</v>
      </c>
      <c r="F614" s="1524">
        <v>1</v>
      </c>
      <c r="G614" s="1537" t="s">
        <v>4572</v>
      </c>
      <c r="H614" s="1521">
        <v>0</v>
      </c>
      <c r="I614" s="1521" t="s">
        <v>4096</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4573</v>
      </c>
      <c r="D615" s="1523">
        <v>0</v>
      </c>
      <c r="E615" s="1523">
        <v>1</v>
      </c>
      <c r="F615" s="1524">
        <v>1</v>
      </c>
      <c r="G615" s="1537" t="s">
        <v>4573</v>
      </c>
      <c r="H615" s="1521">
        <v>0</v>
      </c>
      <c r="I615" s="1521" t="s">
        <v>4096</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4574</v>
      </c>
      <c r="D616" s="1523">
        <v>0</v>
      </c>
      <c r="E616" s="1523">
        <v>1</v>
      </c>
      <c r="F616" s="1524">
        <v>1</v>
      </c>
      <c r="G616" s="1537" t="s">
        <v>4574</v>
      </c>
      <c r="H616" s="1521">
        <v>0</v>
      </c>
      <c r="I616" s="1521" t="s">
        <v>4096</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4575</v>
      </c>
      <c r="D617" s="1523" t="s">
        <v>4096</v>
      </c>
      <c r="E617" s="1523" t="s">
        <v>4096</v>
      </c>
      <c r="F617" s="1524">
        <v>0</v>
      </c>
      <c r="G617" s="1537" t="s">
        <v>4575</v>
      </c>
      <c r="H617" s="1521" t="s">
        <v>4096</v>
      </c>
      <c r="I617" s="1521" t="s">
        <v>4096</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4576</v>
      </c>
      <c r="D618" s="1523">
        <v>0</v>
      </c>
      <c r="E618" s="1523">
        <v>0</v>
      </c>
      <c r="F618" s="1524">
        <v>0</v>
      </c>
      <c r="G618" s="1537" t="s">
        <v>4576</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4577</v>
      </c>
      <c r="D619" s="1523">
        <v>0</v>
      </c>
      <c r="E619" s="1523">
        <v>0</v>
      </c>
      <c r="F619" s="1524">
        <v>0</v>
      </c>
      <c r="G619" s="1537" t="s">
        <v>4577</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4578</v>
      </c>
      <c r="D620" s="1523">
        <v>0</v>
      </c>
      <c r="E620" s="1523">
        <v>0</v>
      </c>
      <c r="F620" s="1524">
        <v>0</v>
      </c>
      <c r="G620" s="1537" t="s">
        <v>4578</v>
      </c>
      <c r="H620" s="1521">
        <v>0</v>
      </c>
      <c r="I620" s="1521" t="s">
        <v>4096</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4579</v>
      </c>
      <c r="D621" s="1523">
        <v>0</v>
      </c>
      <c r="E621" s="1523">
        <v>0</v>
      </c>
      <c r="F621" s="1524">
        <v>0</v>
      </c>
      <c r="G621" s="1537" t="s">
        <v>4579</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4580</v>
      </c>
      <c r="D622" s="1523">
        <v>0</v>
      </c>
      <c r="E622" s="1523">
        <v>0</v>
      </c>
      <c r="F622" s="1524">
        <v>0</v>
      </c>
      <c r="G622" s="1537" t="s">
        <v>4580</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4581</v>
      </c>
      <c r="D623" s="1523">
        <v>0</v>
      </c>
      <c r="E623" s="1523">
        <v>0</v>
      </c>
      <c r="F623" s="1524">
        <v>0</v>
      </c>
      <c r="G623" s="1537" t="s">
        <v>4581</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4582</v>
      </c>
      <c r="D624" s="1523">
        <v>1</v>
      </c>
      <c r="E624" s="1523">
        <v>1</v>
      </c>
      <c r="F624" s="1524">
        <v>2</v>
      </c>
      <c r="G624" s="1537" t="s">
        <v>4582</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4583</v>
      </c>
      <c r="D625" s="1523">
        <v>1</v>
      </c>
      <c r="E625" s="1523">
        <v>1</v>
      </c>
      <c r="F625" s="1524">
        <v>2</v>
      </c>
      <c r="G625" s="1537" t="s">
        <v>4583</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4584</v>
      </c>
      <c r="D626" s="1523">
        <v>1</v>
      </c>
      <c r="E626" s="1523">
        <v>1</v>
      </c>
      <c r="F626" s="1524">
        <v>2</v>
      </c>
      <c r="G626" s="1537" t="s">
        <v>4584</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4585</v>
      </c>
      <c r="D627" s="1523">
        <v>0</v>
      </c>
      <c r="E627" s="1523">
        <v>0</v>
      </c>
      <c r="F627" s="1524">
        <v>0</v>
      </c>
      <c r="G627" s="1537" t="s">
        <v>4585</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4586</v>
      </c>
      <c r="D628" s="1523">
        <v>1</v>
      </c>
      <c r="E628" s="1523">
        <v>1</v>
      </c>
      <c r="F628" s="1524">
        <v>2</v>
      </c>
      <c r="G628" s="1537" t="s">
        <v>4586</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4587</v>
      </c>
      <c r="D629" s="1523">
        <v>1</v>
      </c>
      <c r="E629" s="1523">
        <v>1</v>
      </c>
      <c r="F629" s="1524">
        <v>2</v>
      </c>
      <c r="G629" s="1537" t="s">
        <v>4587</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4588</v>
      </c>
      <c r="D630" s="1523">
        <v>0</v>
      </c>
      <c r="E630" s="1523">
        <v>0</v>
      </c>
      <c r="F630" s="1524">
        <v>0</v>
      </c>
      <c r="G630" s="1537" t="s">
        <v>4588</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4589</v>
      </c>
      <c r="D631" s="1523">
        <v>1</v>
      </c>
      <c r="E631" s="1523">
        <v>1</v>
      </c>
      <c r="F631" s="1524">
        <v>2</v>
      </c>
      <c r="G631" s="1537" t="s">
        <v>4589</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4590</v>
      </c>
      <c r="D632" s="1523">
        <v>1</v>
      </c>
      <c r="E632" s="1523">
        <v>1</v>
      </c>
      <c r="F632" s="1524">
        <v>2</v>
      </c>
      <c r="G632" s="1537" t="s">
        <v>4590</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4591</v>
      </c>
      <c r="D633" s="1523">
        <v>1</v>
      </c>
      <c r="E633" s="1523">
        <v>1</v>
      </c>
      <c r="F633" s="1524">
        <v>2</v>
      </c>
      <c r="G633" s="1537" t="s">
        <v>4591</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4592</v>
      </c>
      <c r="D634" s="1523">
        <v>1</v>
      </c>
      <c r="E634" s="1523">
        <v>1</v>
      </c>
      <c r="F634" s="1524">
        <v>2</v>
      </c>
      <c r="G634" s="1537" t="s">
        <v>4592</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4593</v>
      </c>
      <c r="D635" s="1523">
        <v>1</v>
      </c>
      <c r="E635" s="1523">
        <v>1</v>
      </c>
      <c r="F635" s="1524">
        <v>2</v>
      </c>
      <c r="G635" s="1537" t="s">
        <v>4593</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4594</v>
      </c>
      <c r="D636" s="1523">
        <v>1</v>
      </c>
      <c r="E636" s="1523">
        <v>1</v>
      </c>
      <c r="F636" s="1524">
        <v>2</v>
      </c>
      <c r="G636" s="1537" t="s">
        <v>4594</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4595</v>
      </c>
      <c r="D637" s="1523">
        <v>1</v>
      </c>
      <c r="E637" s="1523">
        <v>1</v>
      </c>
      <c r="F637" s="1524">
        <v>2</v>
      </c>
      <c r="G637" s="1537" t="s">
        <v>4595</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4596</v>
      </c>
      <c r="D638" s="1523">
        <v>1</v>
      </c>
      <c r="E638" s="1523">
        <v>1</v>
      </c>
      <c r="F638" s="1524">
        <v>2</v>
      </c>
      <c r="G638" s="1537" t="s">
        <v>4596</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4597</v>
      </c>
      <c r="D639" s="1523">
        <v>1</v>
      </c>
      <c r="E639" s="1523">
        <v>1</v>
      </c>
      <c r="F639" s="1524">
        <v>2</v>
      </c>
      <c r="G639" s="1537" t="s">
        <v>4597</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4598</v>
      </c>
      <c r="D640" s="1523">
        <v>1</v>
      </c>
      <c r="E640" s="1523">
        <v>1</v>
      </c>
      <c r="F640" s="1524">
        <v>2</v>
      </c>
      <c r="G640" s="1537" t="s">
        <v>4598</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4599</v>
      </c>
      <c r="D641" s="1523">
        <v>0</v>
      </c>
      <c r="E641" s="1523">
        <v>1</v>
      </c>
      <c r="F641" s="1524">
        <v>1</v>
      </c>
      <c r="G641" s="1537" t="s">
        <v>4599</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4600</v>
      </c>
      <c r="D642" s="1523">
        <v>0</v>
      </c>
      <c r="E642" s="1523">
        <v>0</v>
      </c>
      <c r="F642" s="1524">
        <v>0</v>
      </c>
      <c r="G642" s="1537" t="s">
        <v>4600</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4601</v>
      </c>
      <c r="D643" s="1523">
        <v>1</v>
      </c>
      <c r="E643" s="1523">
        <v>1</v>
      </c>
      <c r="F643" s="1524">
        <v>2</v>
      </c>
      <c r="G643" s="1537" t="s">
        <v>4601</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4602</v>
      </c>
      <c r="D644" s="1523">
        <v>1</v>
      </c>
      <c r="E644" s="1523">
        <v>1</v>
      </c>
      <c r="F644" s="1524">
        <v>2</v>
      </c>
      <c r="G644" s="1537" t="s">
        <v>4602</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4603</v>
      </c>
      <c r="D645" s="1523">
        <v>1</v>
      </c>
      <c r="E645" s="1523">
        <v>1</v>
      </c>
      <c r="F645" s="1524">
        <v>2</v>
      </c>
      <c r="G645" s="1537" t="s">
        <v>4603</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4604</v>
      </c>
      <c r="D646" s="1523">
        <v>1</v>
      </c>
      <c r="E646" s="1523">
        <v>1</v>
      </c>
      <c r="F646" s="1524">
        <v>2</v>
      </c>
      <c r="G646" s="1537" t="s">
        <v>4604</v>
      </c>
      <c r="H646" s="1521">
        <v>1</v>
      </c>
      <c r="I646" s="1521" t="s">
        <v>4096</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4605</v>
      </c>
      <c r="D647" s="1523">
        <v>1</v>
      </c>
      <c r="E647" s="1523">
        <v>1</v>
      </c>
      <c r="F647" s="1524">
        <v>2</v>
      </c>
      <c r="G647" s="1537" t="s">
        <v>4605</v>
      </c>
      <c r="H647" s="1521">
        <v>1</v>
      </c>
      <c r="I647" s="1521" t="s">
        <v>4096</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4606</v>
      </c>
      <c r="D648" s="1523">
        <v>1</v>
      </c>
      <c r="E648" s="1523">
        <v>0</v>
      </c>
      <c r="F648" s="1524">
        <v>1</v>
      </c>
      <c r="G648" s="1537" t="s">
        <v>4606</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4607</v>
      </c>
      <c r="D649" s="1523">
        <v>1</v>
      </c>
      <c r="E649" s="1523">
        <v>1</v>
      </c>
      <c r="F649" s="1524">
        <v>2</v>
      </c>
      <c r="G649" s="1537" t="s">
        <v>4607</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4608</v>
      </c>
      <c r="D650" s="1523">
        <v>0</v>
      </c>
      <c r="E650" s="1523">
        <v>1</v>
      </c>
      <c r="F650" s="1524">
        <v>1</v>
      </c>
      <c r="G650" s="1537" t="s">
        <v>4608</v>
      </c>
      <c r="H650" s="1521">
        <v>0</v>
      </c>
      <c r="I650" s="1521" t="s">
        <v>4096</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4609</v>
      </c>
      <c r="D651" s="1523">
        <v>0</v>
      </c>
      <c r="E651" s="1523">
        <v>0</v>
      </c>
      <c r="F651" s="1524">
        <v>0</v>
      </c>
      <c r="G651" s="1537" t="s">
        <v>4609</v>
      </c>
      <c r="H651" s="1521">
        <v>0</v>
      </c>
      <c r="I651" s="1521" t="s">
        <v>4096</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4610</v>
      </c>
      <c r="D652" s="1523">
        <v>0</v>
      </c>
      <c r="E652" s="1523">
        <v>1</v>
      </c>
      <c r="F652" s="1524">
        <v>1</v>
      </c>
      <c r="G652" s="1537" t="s">
        <v>4610</v>
      </c>
      <c r="H652" s="1521">
        <v>0</v>
      </c>
      <c r="I652" s="1521" t="s">
        <v>4096</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4611</v>
      </c>
      <c r="D653" s="1523">
        <v>0</v>
      </c>
      <c r="E653" s="1523">
        <v>0</v>
      </c>
      <c r="F653" s="1524">
        <v>0</v>
      </c>
      <c r="G653" s="1537" t="s">
        <v>4611</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4612</v>
      </c>
      <c r="D654" s="1523">
        <v>0</v>
      </c>
      <c r="E654" s="1523">
        <v>0</v>
      </c>
      <c r="F654" s="1524">
        <v>0</v>
      </c>
      <c r="G654" s="1537" t="s">
        <v>4612</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4613</v>
      </c>
      <c r="D655" s="1523">
        <v>1</v>
      </c>
      <c r="E655" s="1523">
        <v>0</v>
      </c>
      <c r="F655" s="1524">
        <v>1</v>
      </c>
      <c r="G655" s="1537" t="s">
        <v>4613</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4614</v>
      </c>
      <c r="D656" s="1523">
        <v>1</v>
      </c>
      <c r="E656" s="1523">
        <v>1</v>
      </c>
      <c r="F656" s="1524">
        <v>2</v>
      </c>
      <c r="G656" s="1537" t="s">
        <v>4614</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4615</v>
      </c>
      <c r="D657" s="1523">
        <v>0</v>
      </c>
      <c r="E657" s="1523">
        <v>1</v>
      </c>
      <c r="F657" s="1524">
        <v>1</v>
      </c>
      <c r="G657" s="1537" t="s">
        <v>4615</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4616</v>
      </c>
      <c r="D658" s="1523">
        <v>0</v>
      </c>
      <c r="E658" s="1523">
        <v>0</v>
      </c>
      <c r="F658" s="1524">
        <v>0</v>
      </c>
      <c r="G658" s="1537" t="s">
        <v>4616</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4617</v>
      </c>
      <c r="D659" s="1523">
        <v>1</v>
      </c>
      <c r="E659" s="1523">
        <v>1</v>
      </c>
      <c r="F659" s="1524">
        <v>2</v>
      </c>
      <c r="G659" s="1537" t="s">
        <v>4617</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4618</v>
      </c>
      <c r="D660" s="1523">
        <v>0</v>
      </c>
      <c r="E660" s="1523">
        <v>1</v>
      </c>
      <c r="F660" s="1524">
        <v>1</v>
      </c>
      <c r="G660" s="1537" t="s">
        <v>4618</v>
      </c>
      <c r="H660" s="1521">
        <v>0</v>
      </c>
      <c r="I660" s="1521" t="s">
        <v>4096</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4619</v>
      </c>
      <c r="D661" s="1523">
        <v>1</v>
      </c>
      <c r="E661" s="1523">
        <v>1</v>
      </c>
      <c r="F661" s="1524">
        <v>2</v>
      </c>
      <c r="G661" s="1537" t="s">
        <v>4619</v>
      </c>
      <c r="H661" s="1521">
        <v>1</v>
      </c>
      <c r="I661" s="1521" t="s">
        <v>4096</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4620</v>
      </c>
      <c r="D662" s="1523">
        <v>0</v>
      </c>
      <c r="E662" s="1523">
        <v>0</v>
      </c>
      <c r="F662" s="1524">
        <v>0</v>
      </c>
      <c r="G662" s="1537" t="s">
        <v>4620</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4621</v>
      </c>
      <c r="D663" s="1523">
        <v>0</v>
      </c>
      <c r="E663" s="1523">
        <v>0</v>
      </c>
      <c r="F663" s="1524">
        <v>0</v>
      </c>
      <c r="G663" s="1537" t="s">
        <v>4621</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4622</v>
      </c>
      <c r="D664" s="1523">
        <v>0</v>
      </c>
      <c r="E664" s="1523">
        <v>0</v>
      </c>
      <c r="F664" s="1524">
        <v>0</v>
      </c>
      <c r="G664" s="1537" t="s">
        <v>4622</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4623</v>
      </c>
      <c r="D665" s="1523">
        <v>1</v>
      </c>
      <c r="E665" s="1523">
        <v>0</v>
      </c>
      <c r="F665" s="1524">
        <v>1</v>
      </c>
      <c r="G665" s="1537" t="s">
        <v>4623</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4624</v>
      </c>
      <c r="D666" s="1523">
        <v>0</v>
      </c>
      <c r="E666" s="1523">
        <v>0</v>
      </c>
      <c r="F666" s="1524">
        <v>0</v>
      </c>
      <c r="G666" s="1537" t="s">
        <v>4624</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4625</v>
      </c>
      <c r="D667" s="1523">
        <v>0</v>
      </c>
      <c r="E667" s="1523">
        <v>0</v>
      </c>
      <c r="F667" s="1524">
        <v>0</v>
      </c>
      <c r="G667" s="1537" t="s">
        <v>4625</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4626</v>
      </c>
      <c r="D668" s="1523">
        <v>1</v>
      </c>
      <c r="E668" s="1523">
        <v>1</v>
      </c>
      <c r="F668" s="1524">
        <v>2</v>
      </c>
      <c r="G668" s="1537" t="s">
        <v>4626</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4627</v>
      </c>
      <c r="D669" s="1523">
        <v>0</v>
      </c>
      <c r="E669" s="1523">
        <v>0</v>
      </c>
      <c r="F669" s="1524">
        <v>0</v>
      </c>
      <c r="G669" s="1537" t="s">
        <v>4627</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4628</v>
      </c>
      <c r="D670" s="1523">
        <v>0</v>
      </c>
      <c r="E670" s="1523">
        <v>0</v>
      </c>
      <c r="F670" s="1524">
        <v>0</v>
      </c>
      <c r="G670" s="1537" t="s">
        <v>4628</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4629</v>
      </c>
      <c r="D671" s="1523">
        <v>0</v>
      </c>
      <c r="E671" s="1523">
        <v>0</v>
      </c>
      <c r="F671" s="1524">
        <v>0</v>
      </c>
      <c r="G671" s="1537" t="s">
        <v>4629</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4630</v>
      </c>
      <c r="D672" s="1523">
        <v>0</v>
      </c>
      <c r="E672" s="1523">
        <v>0</v>
      </c>
      <c r="F672" s="1524">
        <v>0</v>
      </c>
      <c r="G672" s="1537" t="s">
        <v>4630</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4631</v>
      </c>
      <c r="D673" s="1523">
        <v>1</v>
      </c>
      <c r="E673" s="1523">
        <v>0</v>
      </c>
      <c r="F673" s="1524">
        <v>1</v>
      </c>
      <c r="G673" s="1537" t="s">
        <v>4631</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4632</v>
      </c>
      <c r="D674" s="1523">
        <v>0</v>
      </c>
      <c r="E674" s="1523">
        <v>1</v>
      </c>
      <c r="F674" s="1524">
        <v>1</v>
      </c>
      <c r="G674" s="1537" t="s">
        <v>4632</v>
      </c>
      <c r="H674" s="1521">
        <v>0</v>
      </c>
      <c r="I674" s="1521" t="s">
        <v>4096</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4633</v>
      </c>
      <c r="D675" s="1523">
        <v>0</v>
      </c>
      <c r="E675" s="1523">
        <v>1</v>
      </c>
      <c r="F675" s="1524">
        <v>1</v>
      </c>
      <c r="G675" s="1537" t="s">
        <v>4633</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4634</v>
      </c>
      <c r="D676" s="1523">
        <v>0</v>
      </c>
      <c r="E676" s="1523">
        <v>0</v>
      </c>
      <c r="F676" s="1524">
        <v>0</v>
      </c>
      <c r="G676" s="1537" t="s">
        <v>4634</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4635</v>
      </c>
      <c r="D677" s="1523">
        <v>1</v>
      </c>
      <c r="E677" s="1523">
        <v>0</v>
      </c>
      <c r="F677" s="1524">
        <v>1</v>
      </c>
      <c r="G677" s="1537" t="s">
        <v>4635</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4636</v>
      </c>
      <c r="D678" s="1523">
        <v>1</v>
      </c>
      <c r="E678" s="1523">
        <v>1</v>
      </c>
      <c r="F678" s="1524">
        <v>2</v>
      </c>
      <c r="G678" s="1537" t="s">
        <v>4636</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4637</v>
      </c>
      <c r="D679" s="1523">
        <v>1</v>
      </c>
      <c r="E679" s="1523">
        <v>1</v>
      </c>
      <c r="F679" s="1524">
        <v>2</v>
      </c>
      <c r="G679" s="1537" t="s">
        <v>4637</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4638</v>
      </c>
      <c r="D680" s="1523">
        <v>0</v>
      </c>
      <c r="E680" s="1523">
        <v>0</v>
      </c>
      <c r="F680" s="1524">
        <v>0</v>
      </c>
      <c r="G680" s="1537" t="s">
        <v>4638</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4639</v>
      </c>
      <c r="D681" s="1523">
        <v>0</v>
      </c>
      <c r="E681" s="1523">
        <v>0</v>
      </c>
      <c r="F681" s="1524">
        <v>0</v>
      </c>
      <c r="G681" s="1537" t="s">
        <v>4639</v>
      </c>
      <c r="H681" s="1521">
        <v>0</v>
      </c>
      <c r="I681" s="1521" t="s">
        <v>4096</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4640</v>
      </c>
      <c r="D682" s="1523">
        <v>0</v>
      </c>
      <c r="E682" s="1523">
        <v>0</v>
      </c>
      <c r="F682" s="1524">
        <v>0</v>
      </c>
      <c r="G682" s="1537" t="s">
        <v>4640</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4641</v>
      </c>
      <c r="D683" s="1523">
        <v>0</v>
      </c>
      <c r="E683" s="1523">
        <v>0</v>
      </c>
      <c r="F683" s="1524">
        <v>0</v>
      </c>
      <c r="G683" s="1537" t="s">
        <v>4641</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4642</v>
      </c>
      <c r="D684" s="1523">
        <v>0</v>
      </c>
      <c r="E684" s="1523">
        <v>0</v>
      </c>
      <c r="F684" s="1524">
        <v>0</v>
      </c>
      <c r="G684" s="1537" t="s">
        <v>4642</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4643</v>
      </c>
      <c r="D685" s="1523">
        <v>0</v>
      </c>
      <c r="E685" s="1523">
        <v>0</v>
      </c>
      <c r="F685" s="1524">
        <v>0</v>
      </c>
      <c r="G685" s="1537" t="s">
        <v>4643</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4644</v>
      </c>
      <c r="D686" s="1523">
        <v>0</v>
      </c>
      <c r="E686" s="1523">
        <v>0</v>
      </c>
      <c r="F686" s="1524">
        <v>0</v>
      </c>
      <c r="G686" s="1537" t="s">
        <v>4644</v>
      </c>
      <c r="H686" s="1521">
        <v>0</v>
      </c>
      <c r="I686" s="1521" t="s">
        <v>4096</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4645</v>
      </c>
      <c r="D687" s="1523">
        <v>0</v>
      </c>
      <c r="E687" s="1523">
        <v>0</v>
      </c>
      <c r="F687" s="1524">
        <v>0</v>
      </c>
      <c r="G687" s="1537" t="s">
        <v>4645</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4646</v>
      </c>
      <c r="D688" s="1523">
        <v>0</v>
      </c>
      <c r="E688" s="1523">
        <v>0</v>
      </c>
      <c r="F688" s="1524">
        <v>0</v>
      </c>
      <c r="G688" s="1537" t="s">
        <v>4646</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4647</v>
      </c>
      <c r="D689" s="1523">
        <v>0</v>
      </c>
      <c r="E689" s="1523">
        <v>0</v>
      </c>
      <c r="F689" s="1524">
        <v>0</v>
      </c>
      <c r="G689" s="1537" t="s">
        <v>4647</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4648</v>
      </c>
      <c r="D690" s="1523">
        <v>0</v>
      </c>
      <c r="E690" s="1523">
        <v>0</v>
      </c>
      <c r="F690" s="1524">
        <v>0</v>
      </c>
      <c r="G690" s="1537" t="s">
        <v>4648</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4649</v>
      </c>
      <c r="D691" s="1523">
        <v>0</v>
      </c>
      <c r="E691" s="1523">
        <v>0</v>
      </c>
      <c r="F691" s="1524">
        <v>0</v>
      </c>
      <c r="G691" s="1537" t="s">
        <v>4649</v>
      </c>
      <c r="H691" s="1521">
        <v>1</v>
      </c>
      <c r="I691" s="1521" t="s">
        <v>4096</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4650</v>
      </c>
      <c r="D692" s="1523">
        <v>0</v>
      </c>
      <c r="E692" s="1523">
        <v>0</v>
      </c>
      <c r="F692" s="1524">
        <v>0</v>
      </c>
      <c r="G692" s="1537" t="s">
        <v>4650</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4651</v>
      </c>
      <c r="D693" s="1523">
        <v>1</v>
      </c>
      <c r="E693" s="1523">
        <v>0</v>
      </c>
      <c r="F693" s="1524">
        <v>1</v>
      </c>
      <c r="G693" s="1537" t="s">
        <v>4651</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4652</v>
      </c>
      <c r="D694" s="1523">
        <v>0</v>
      </c>
      <c r="E694" s="1523">
        <v>0</v>
      </c>
      <c r="F694" s="1524">
        <v>0</v>
      </c>
      <c r="G694" s="1537" t="s">
        <v>4652</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4653</v>
      </c>
      <c r="D695" s="1523">
        <v>0</v>
      </c>
      <c r="E695" s="1523">
        <v>0</v>
      </c>
      <c r="F695" s="1524">
        <v>0</v>
      </c>
      <c r="G695" s="1537" t="s">
        <v>4653</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4654</v>
      </c>
      <c r="D696" s="1523">
        <v>0</v>
      </c>
      <c r="E696" s="1523">
        <v>0</v>
      </c>
      <c r="F696" s="1524">
        <v>0</v>
      </c>
      <c r="G696" s="1537" t="s">
        <v>4654</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4655</v>
      </c>
      <c r="D697" s="1523">
        <v>0</v>
      </c>
      <c r="E697" s="1523">
        <v>0</v>
      </c>
      <c r="F697" s="1524">
        <v>0</v>
      </c>
      <c r="G697" s="1537" t="s">
        <v>4655</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4656</v>
      </c>
      <c r="D698" s="1523">
        <v>0</v>
      </c>
      <c r="E698" s="1523">
        <v>0</v>
      </c>
      <c r="F698" s="1524">
        <v>0</v>
      </c>
      <c r="G698" s="1537" t="s">
        <v>4656</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4657</v>
      </c>
      <c r="D699" s="1523">
        <v>0</v>
      </c>
      <c r="E699" s="1523">
        <v>0</v>
      </c>
      <c r="F699" s="1524">
        <v>0</v>
      </c>
      <c r="G699" s="1537" t="s">
        <v>4657</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4658</v>
      </c>
      <c r="D700" s="1523">
        <v>0</v>
      </c>
      <c r="E700" s="1523">
        <v>0</v>
      </c>
      <c r="F700" s="1524">
        <v>0</v>
      </c>
      <c r="G700" s="1537" t="s">
        <v>4658</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4659</v>
      </c>
      <c r="D701" s="1523">
        <v>0</v>
      </c>
      <c r="E701" s="1523">
        <v>0</v>
      </c>
      <c r="F701" s="1524">
        <v>0</v>
      </c>
      <c r="G701" s="1537" t="s">
        <v>4659</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4660</v>
      </c>
      <c r="D702" s="1523">
        <v>0</v>
      </c>
      <c r="E702" s="1523">
        <v>0</v>
      </c>
      <c r="F702" s="1524">
        <v>0</v>
      </c>
      <c r="G702" s="1537" t="s">
        <v>4660</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4661</v>
      </c>
      <c r="D703" s="1523">
        <v>0</v>
      </c>
      <c r="E703" s="1523">
        <v>1</v>
      </c>
      <c r="F703" s="1524">
        <v>1</v>
      </c>
      <c r="G703" s="1537" t="s">
        <v>4661</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4662</v>
      </c>
      <c r="D704" s="1523">
        <v>0</v>
      </c>
      <c r="E704" s="1523">
        <v>0</v>
      </c>
      <c r="F704" s="1524">
        <v>0</v>
      </c>
      <c r="G704" s="1537" t="s">
        <v>4662</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4663</v>
      </c>
      <c r="D705" s="1523">
        <v>0</v>
      </c>
      <c r="E705" s="1523">
        <v>0</v>
      </c>
      <c r="F705" s="1524">
        <v>0</v>
      </c>
      <c r="G705" s="1537" t="s">
        <v>4663</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4664</v>
      </c>
      <c r="D706" s="1523">
        <v>0</v>
      </c>
      <c r="E706" s="1523">
        <v>0</v>
      </c>
      <c r="F706" s="1524">
        <v>0</v>
      </c>
      <c r="G706" s="1537" t="s">
        <v>4664</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4665</v>
      </c>
      <c r="D707" s="1523">
        <v>0</v>
      </c>
      <c r="E707" s="1523">
        <v>0</v>
      </c>
      <c r="F707" s="1524">
        <v>0</v>
      </c>
      <c r="G707" s="1537" t="s">
        <v>4665</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4666</v>
      </c>
      <c r="D708" s="1523">
        <v>0</v>
      </c>
      <c r="E708" s="1523">
        <v>0</v>
      </c>
      <c r="F708" s="1524">
        <v>0</v>
      </c>
      <c r="G708" s="1537" t="s">
        <v>4666</v>
      </c>
      <c r="H708" s="1521">
        <v>0</v>
      </c>
      <c r="I708" s="1521" t="s">
        <v>4096</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4667</v>
      </c>
      <c r="D709" s="1523">
        <v>0</v>
      </c>
      <c r="E709" s="1523">
        <v>0</v>
      </c>
      <c r="F709" s="1524">
        <v>0</v>
      </c>
      <c r="G709" s="1537" t="s">
        <v>4667</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4668</v>
      </c>
      <c r="D710" s="1523">
        <v>0</v>
      </c>
      <c r="E710" s="1523">
        <v>0</v>
      </c>
      <c r="F710" s="1524">
        <v>0</v>
      </c>
      <c r="G710" s="1537" t="s">
        <v>4668</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4669</v>
      </c>
      <c r="D711" s="1523">
        <v>0</v>
      </c>
      <c r="E711" s="1523">
        <v>0</v>
      </c>
      <c r="F711" s="1524">
        <v>0</v>
      </c>
      <c r="G711" s="1537" t="s">
        <v>4669</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4670</v>
      </c>
      <c r="D712" s="1523">
        <v>0</v>
      </c>
      <c r="E712" s="1523">
        <v>0</v>
      </c>
      <c r="F712" s="1524">
        <v>0</v>
      </c>
      <c r="G712" s="1537" t="s">
        <v>4670</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4671</v>
      </c>
      <c r="D713" s="1523">
        <v>0</v>
      </c>
      <c r="E713" s="1523">
        <v>0</v>
      </c>
      <c r="F713" s="1524">
        <v>0</v>
      </c>
      <c r="G713" s="1537" t="s">
        <v>4671</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4672</v>
      </c>
      <c r="D714" s="1523">
        <v>0</v>
      </c>
      <c r="E714" s="1523">
        <v>0</v>
      </c>
      <c r="F714" s="1524">
        <v>0</v>
      </c>
      <c r="G714" s="1537" t="s">
        <v>4672</v>
      </c>
      <c r="H714" s="1521">
        <v>0</v>
      </c>
      <c r="I714" s="1521" t="s">
        <v>4096</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4673</v>
      </c>
      <c r="D715" s="1523">
        <v>0</v>
      </c>
      <c r="E715" s="1523">
        <v>0</v>
      </c>
      <c r="F715" s="1524">
        <v>0</v>
      </c>
      <c r="G715" s="1537" t="s">
        <v>4673</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4674</v>
      </c>
      <c r="D716" s="1523">
        <v>0</v>
      </c>
      <c r="E716" s="1523">
        <v>0</v>
      </c>
      <c r="F716" s="1524">
        <v>0</v>
      </c>
      <c r="G716" s="1537" t="s">
        <v>4674</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4675</v>
      </c>
      <c r="D717" s="1523">
        <v>1</v>
      </c>
      <c r="E717" s="1523">
        <v>1</v>
      </c>
      <c r="F717" s="1524">
        <v>2</v>
      </c>
      <c r="G717" s="1537" t="s">
        <v>4675</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4676</v>
      </c>
      <c r="D718" s="1523">
        <v>1</v>
      </c>
      <c r="E718" s="1523">
        <v>1</v>
      </c>
      <c r="F718" s="1524">
        <v>2</v>
      </c>
      <c r="G718" s="1537" t="s">
        <v>4676</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4677</v>
      </c>
      <c r="D719" s="1523">
        <v>0</v>
      </c>
      <c r="E719" s="1523">
        <v>0</v>
      </c>
      <c r="F719" s="1524">
        <v>0</v>
      </c>
      <c r="G719" s="1537" t="s">
        <v>4677</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4678</v>
      </c>
      <c r="D720" s="1523">
        <v>0</v>
      </c>
      <c r="E720" s="1523">
        <v>0</v>
      </c>
      <c r="F720" s="1524">
        <v>0</v>
      </c>
      <c r="G720" s="1537" t="s">
        <v>4678</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4679</v>
      </c>
      <c r="D721" s="1523">
        <v>0</v>
      </c>
      <c r="E721" s="1523">
        <v>0</v>
      </c>
      <c r="F721" s="1524">
        <v>0</v>
      </c>
      <c r="G721" s="1537" t="s">
        <v>4679</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4680</v>
      </c>
      <c r="D722" s="1523">
        <v>1</v>
      </c>
      <c r="E722" s="1523">
        <v>0</v>
      </c>
      <c r="F722" s="1524">
        <v>1</v>
      </c>
      <c r="G722" s="1537" t="s">
        <v>4680</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4681</v>
      </c>
      <c r="D723" s="1523">
        <v>1</v>
      </c>
      <c r="E723" s="1523">
        <v>0</v>
      </c>
      <c r="F723" s="1524">
        <v>1</v>
      </c>
      <c r="G723" s="1537" t="s">
        <v>4681</v>
      </c>
      <c r="H723" s="1521">
        <v>1</v>
      </c>
      <c r="I723" s="1521" t="s">
        <v>4096</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4682</v>
      </c>
      <c r="D724" s="1523">
        <v>0</v>
      </c>
      <c r="E724" s="1523">
        <v>0</v>
      </c>
      <c r="F724" s="1524">
        <v>0</v>
      </c>
      <c r="G724" s="1537" t="s">
        <v>4682</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4683</v>
      </c>
      <c r="D725" s="1523">
        <v>0</v>
      </c>
      <c r="E725" s="1523">
        <v>0</v>
      </c>
      <c r="F725" s="1524">
        <v>0</v>
      </c>
      <c r="G725" s="1537" t="s">
        <v>4683</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4684</v>
      </c>
      <c r="D726" s="1523">
        <v>0</v>
      </c>
      <c r="E726" s="1523">
        <v>0</v>
      </c>
      <c r="F726" s="1524">
        <v>0</v>
      </c>
      <c r="G726" s="1537" t="s">
        <v>4684</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4685</v>
      </c>
      <c r="D727" s="1523">
        <v>0</v>
      </c>
      <c r="E727" s="1523">
        <v>1</v>
      </c>
      <c r="F727" s="1524">
        <v>1</v>
      </c>
      <c r="G727" s="1537" t="s">
        <v>4685</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4686</v>
      </c>
      <c r="D728" s="1523">
        <v>0</v>
      </c>
      <c r="E728" s="1523">
        <v>0</v>
      </c>
      <c r="F728" s="1524">
        <v>0</v>
      </c>
      <c r="G728" s="1537" t="s">
        <v>4686</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4687</v>
      </c>
      <c r="D729" s="1523">
        <v>0</v>
      </c>
      <c r="E729" s="1523">
        <v>0</v>
      </c>
      <c r="F729" s="1524">
        <v>0</v>
      </c>
      <c r="G729" s="1537" t="s">
        <v>4687</v>
      </c>
      <c r="H729" s="1521">
        <v>0</v>
      </c>
      <c r="I729" s="1521" t="s">
        <v>4096</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4688</v>
      </c>
      <c r="D730" s="1523" t="s">
        <v>4096</v>
      </c>
      <c r="E730" s="1523" t="s">
        <v>4096</v>
      </c>
      <c r="F730" s="1524">
        <v>0</v>
      </c>
      <c r="G730" s="1537" t="s">
        <v>4688</v>
      </c>
      <c r="H730" s="1521" t="s">
        <v>4096</v>
      </c>
      <c r="I730" s="1521" t="s">
        <v>4096</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4689</v>
      </c>
      <c r="D731" s="1523">
        <v>0</v>
      </c>
      <c r="E731" s="1523">
        <v>0</v>
      </c>
      <c r="F731" s="1524">
        <v>0</v>
      </c>
      <c r="G731" s="1537" t="s">
        <v>4689</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4690</v>
      </c>
      <c r="D732" s="1523">
        <v>0</v>
      </c>
      <c r="E732" s="1523">
        <v>0</v>
      </c>
      <c r="F732" s="1524">
        <v>0</v>
      </c>
      <c r="G732" s="1537" t="s">
        <v>4690</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4691</v>
      </c>
      <c r="D733" s="1523">
        <v>1</v>
      </c>
      <c r="E733" s="1523">
        <v>1</v>
      </c>
      <c r="F733" s="1524">
        <v>2</v>
      </c>
      <c r="G733" s="1537" t="s">
        <v>4691</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4692</v>
      </c>
      <c r="D734" s="1523">
        <v>1</v>
      </c>
      <c r="E734" s="1523">
        <v>1</v>
      </c>
      <c r="F734" s="1524">
        <v>2</v>
      </c>
      <c r="G734" s="1537" t="s">
        <v>4692</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4693</v>
      </c>
      <c r="D735" s="1523">
        <v>0</v>
      </c>
      <c r="E735" s="1523">
        <v>0</v>
      </c>
      <c r="F735" s="1524">
        <v>0</v>
      </c>
      <c r="G735" s="1537" t="s">
        <v>4693</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4694</v>
      </c>
      <c r="D736" s="1523">
        <v>0</v>
      </c>
      <c r="E736" s="1523">
        <v>0</v>
      </c>
      <c r="F736" s="1524">
        <v>0</v>
      </c>
      <c r="G736" s="1537" t="s">
        <v>4694</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4695</v>
      </c>
      <c r="D737" s="1523">
        <v>1</v>
      </c>
      <c r="E737" s="1523">
        <v>1</v>
      </c>
      <c r="F737" s="1524">
        <v>2</v>
      </c>
      <c r="G737" s="1537" t="s">
        <v>4695</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4696</v>
      </c>
      <c r="D738" s="1523">
        <v>1</v>
      </c>
      <c r="E738" s="1523">
        <v>1</v>
      </c>
      <c r="F738" s="1524">
        <v>2</v>
      </c>
      <c r="G738" s="1537" t="s">
        <v>4696</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4697</v>
      </c>
      <c r="D739" s="1523">
        <v>1</v>
      </c>
      <c r="E739" s="1523">
        <v>1</v>
      </c>
      <c r="F739" s="1524">
        <v>2</v>
      </c>
      <c r="G739" s="1537" t="s">
        <v>4697</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4698</v>
      </c>
      <c r="D740" s="1523">
        <v>1</v>
      </c>
      <c r="E740" s="1523">
        <v>1</v>
      </c>
      <c r="F740" s="1524">
        <v>2</v>
      </c>
      <c r="G740" s="1537" t="s">
        <v>4698</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4699</v>
      </c>
      <c r="D741" s="1523">
        <v>1</v>
      </c>
      <c r="E741" s="1523">
        <v>1</v>
      </c>
      <c r="F741" s="1524">
        <v>2</v>
      </c>
      <c r="G741" s="1537" t="s">
        <v>4699</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4700</v>
      </c>
      <c r="D742" s="1523">
        <v>1</v>
      </c>
      <c r="E742" s="1523">
        <v>1</v>
      </c>
      <c r="F742" s="1524">
        <v>2</v>
      </c>
      <c r="G742" s="1537" t="s">
        <v>4700</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4701</v>
      </c>
      <c r="D743" s="1523">
        <v>1</v>
      </c>
      <c r="E743" s="1523">
        <v>1</v>
      </c>
      <c r="F743" s="1524">
        <v>2</v>
      </c>
      <c r="G743" s="1537" t="s">
        <v>4701</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4702</v>
      </c>
      <c r="D744" s="1523">
        <v>1</v>
      </c>
      <c r="E744" s="1523">
        <v>1</v>
      </c>
      <c r="F744" s="1524">
        <v>2</v>
      </c>
      <c r="G744" s="1537" t="s">
        <v>4702</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4703</v>
      </c>
      <c r="D745" s="1523">
        <v>1</v>
      </c>
      <c r="E745" s="1523">
        <v>1</v>
      </c>
      <c r="F745" s="1524">
        <v>2</v>
      </c>
      <c r="G745" s="1537" t="s">
        <v>4703</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4704</v>
      </c>
      <c r="D746" s="1523">
        <v>1</v>
      </c>
      <c r="E746" s="1523">
        <v>1</v>
      </c>
      <c r="F746" s="1524">
        <v>2</v>
      </c>
      <c r="G746" s="1537" t="s">
        <v>4704</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4705</v>
      </c>
      <c r="D747" s="1523">
        <v>1</v>
      </c>
      <c r="E747" s="1523">
        <v>1</v>
      </c>
      <c r="F747" s="1524">
        <v>2</v>
      </c>
      <c r="G747" s="1537" t="s">
        <v>4705</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4706</v>
      </c>
      <c r="D748" s="1523">
        <v>1</v>
      </c>
      <c r="E748" s="1523">
        <v>1</v>
      </c>
      <c r="F748" s="1524">
        <v>2</v>
      </c>
      <c r="G748" s="1537" t="s">
        <v>4706</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4707</v>
      </c>
      <c r="D749" s="1523">
        <v>1</v>
      </c>
      <c r="E749" s="1523">
        <v>1</v>
      </c>
      <c r="F749" s="1524">
        <v>2</v>
      </c>
      <c r="G749" s="1537" t="s">
        <v>4707</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4708</v>
      </c>
      <c r="D750" s="1523">
        <v>0</v>
      </c>
      <c r="E750" s="1523">
        <v>1</v>
      </c>
      <c r="F750" s="1524">
        <v>1</v>
      </c>
      <c r="G750" s="1537" t="s">
        <v>4708</v>
      </c>
      <c r="H750" s="1521">
        <v>0</v>
      </c>
      <c r="I750" s="1521" t="s">
        <v>4096</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4709</v>
      </c>
      <c r="D751" s="1523">
        <v>1</v>
      </c>
      <c r="E751" s="1523">
        <v>1</v>
      </c>
      <c r="F751" s="1524">
        <v>2</v>
      </c>
      <c r="G751" s="1537" t="s">
        <v>4709</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4710</v>
      </c>
      <c r="D752" s="1523">
        <v>1</v>
      </c>
      <c r="E752" s="1523">
        <v>1</v>
      </c>
      <c r="F752" s="1524">
        <v>2</v>
      </c>
      <c r="G752" s="1537" t="s">
        <v>4710</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4711</v>
      </c>
      <c r="D753" s="1523">
        <v>1</v>
      </c>
      <c r="E753" s="1523">
        <v>1</v>
      </c>
      <c r="F753" s="1524">
        <v>2</v>
      </c>
      <c r="G753" s="1537" t="s">
        <v>4711</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4712</v>
      </c>
      <c r="D754" s="1523">
        <v>1</v>
      </c>
      <c r="E754" s="1523">
        <v>1</v>
      </c>
      <c r="F754" s="1524">
        <v>2</v>
      </c>
      <c r="G754" s="1537" t="s">
        <v>4712</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4713</v>
      </c>
      <c r="D755" s="1523">
        <v>1</v>
      </c>
      <c r="E755" s="1523">
        <v>1</v>
      </c>
      <c r="F755" s="1524">
        <v>2</v>
      </c>
      <c r="G755" s="1537" t="s">
        <v>4713</v>
      </c>
      <c r="H755" s="1521">
        <v>1</v>
      </c>
      <c r="I755" s="1521" t="s">
        <v>4096</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4714</v>
      </c>
      <c r="D756" s="1523">
        <v>1</v>
      </c>
      <c r="E756" s="1523">
        <v>1</v>
      </c>
      <c r="F756" s="1524">
        <v>2</v>
      </c>
      <c r="G756" s="1537" t="s">
        <v>4714</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4715</v>
      </c>
      <c r="D757" s="1523">
        <v>1</v>
      </c>
      <c r="E757" s="1523">
        <v>1</v>
      </c>
      <c r="F757" s="1524">
        <v>2</v>
      </c>
      <c r="G757" s="1537" t="s">
        <v>4715</v>
      </c>
      <c r="H757" s="1521">
        <v>1</v>
      </c>
      <c r="I757" s="1521" t="s">
        <v>4096</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4716</v>
      </c>
      <c r="D758" s="1523">
        <v>1</v>
      </c>
      <c r="E758" s="1523">
        <v>1</v>
      </c>
      <c r="F758" s="1524">
        <v>2</v>
      </c>
      <c r="G758" s="1537" t="s">
        <v>4716</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4717</v>
      </c>
      <c r="D759" s="1523">
        <v>1</v>
      </c>
      <c r="E759" s="1523">
        <v>1</v>
      </c>
      <c r="F759" s="1524">
        <v>2</v>
      </c>
      <c r="G759" s="1537" t="s">
        <v>4717</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4718</v>
      </c>
      <c r="D760" s="1523">
        <v>1</v>
      </c>
      <c r="E760" s="1523">
        <v>1</v>
      </c>
      <c r="F760" s="1524">
        <v>2</v>
      </c>
      <c r="G760" s="1537" t="s">
        <v>4718</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4719</v>
      </c>
      <c r="D761" s="1523">
        <v>1</v>
      </c>
      <c r="E761" s="1523">
        <v>1</v>
      </c>
      <c r="F761" s="1524">
        <v>2</v>
      </c>
      <c r="G761" s="1537" t="s">
        <v>4719</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4720</v>
      </c>
      <c r="D762" s="1523">
        <v>1</v>
      </c>
      <c r="E762" s="1523">
        <v>1</v>
      </c>
      <c r="F762" s="1524">
        <v>2</v>
      </c>
      <c r="G762" s="1537" t="s">
        <v>4720</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4721</v>
      </c>
      <c r="D763" s="1523">
        <v>1</v>
      </c>
      <c r="E763" s="1523">
        <v>1</v>
      </c>
      <c r="F763" s="1524">
        <v>2</v>
      </c>
      <c r="G763" s="1537" t="s">
        <v>4721</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4722</v>
      </c>
      <c r="D764" s="1523">
        <v>1</v>
      </c>
      <c r="E764" s="1523">
        <v>1</v>
      </c>
      <c r="F764" s="1524">
        <v>2</v>
      </c>
      <c r="G764" s="1537" t="s">
        <v>4722</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4723</v>
      </c>
      <c r="D765" s="1523">
        <v>1</v>
      </c>
      <c r="E765" s="1523">
        <v>1</v>
      </c>
      <c r="F765" s="1524">
        <v>2</v>
      </c>
      <c r="G765" s="1537" t="s">
        <v>4723</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4724</v>
      </c>
      <c r="D766" s="1523">
        <v>1</v>
      </c>
      <c r="E766" s="1523">
        <v>1</v>
      </c>
      <c r="F766" s="1524">
        <v>2</v>
      </c>
      <c r="G766" s="1537" t="s">
        <v>4724</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4725</v>
      </c>
      <c r="D767" s="1523">
        <v>1</v>
      </c>
      <c r="E767" s="1523">
        <v>1</v>
      </c>
      <c r="F767" s="1524">
        <v>2</v>
      </c>
      <c r="G767" s="1537" t="s">
        <v>4725</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4726</v>
      </c>
      <c r="D768" s="1523">
        <v>1</v>
      </c>
      <c r="E768" s="1523">
        <v>1</v>
      </c>
      <c r="F768" s="1524">
        <v>2</v>
      </c>
      <c r="G768" s="1537" t="s">
        <v>4726</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4727</v>
      </c>
      <c r="D769" s="1523">
        <v>1</v>
      </c>
      <c r="E769" s="1523">
        <v>1</v>
      </c>
      <c r="F769" s="1524">
        <v>2</v>
      </c>
      <c r="G769" s="1537" t="s">
        <v>4727</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4728</v>
      </c>
      <c r="D770" s="1523">
        <v>1</v>
      </c>
      <c r="E770" s="1523">
        <v>1</v>
      </c>
      <c r="F770" s="1524">
        <v>2</v>
      </c>
      <c r="G770" s="1537" t="s">
        <v>4728</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4729</v>
      </c>
      <c r="D771" s="1523">
        <v>1</v>
      </c>
      <c r="E771" s="1523">
        <v>1</v>
      </c>
      <c r="F771" s="1524">
        <v>2</v>
      </c>
      <c r="G771" s="1537" t="s">
        <v>4729</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4730</v>
      </c>
      <c r="D772" s="1523">
        <v>1</v>
      </c>
      <c r="E772" s="1523">
        <v>1</v>
      </c>
      <c r="F772" s="1524">
        <v>2</v>
      </c>
      <c r="G772" s="1537" t="s">
        <v>4730</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4731</v>
      </c>
      <c r="D773" s="1523">
        <v>1</v>
      </c>
      <c r="E773" s="1523">
        <v>1</v>
      </c>
      <c r="F773" s="1524">
        <v>2</v>
      </c>
      <c r="G773" s="1537" t="s">
        <v>4731</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4732</v>
      </c>
      <c r="D774" s="1523">
        <v>1</v>
      </c>
      <c r="E774" s="1523">
        <v>1</v>
      </c>
      <c r="F774" s="1524">
        <v>2</v>
      </c>
      <c r="G774" s="1537" t="s">
        <v>4732</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4733</v>
      </c>
      <c r="D775" s="1523">
        <v>1</v>
      </c>
      <c r="E775" s="1523">
        <v>1</v>
      </c>
      <c r="F775" s="1524">
        <v>2</v>
      </c>
      <c r="G775" s="1537" t="s">
        <v>4733</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4734</v>
      </c>
      <c r="D776" s="1523">
        <v>1</v>
      </c>
      <c r="E776" s="1523">
        <v>1</v>
      </c>
      <c r="F776" s="1524">
        <v>2</v>
      </c>
      <c r="G776" s="1537" t="s">
        <v>4734</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4735</v>
      </c>
      <c r="D777" s="1523">
        <v>1</v>
      </c>
      <c r="E777" s="1523">
        <v>1</v>
      </c>
      <c r="F777" s="1524">
        <v>2</v>
      </c>
      <c r="G777" s="1537" t="s">
        <v>4735</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4736</v>
      </c>
      <c r="D778" s="1523">
        <v>1</v>
      </c>
      <c r="E778" s="1523">
        <v>1</v>
      </c>
      <c r="F778" s="1524">
        <v>2</v>
      </c>
      <c r="G778" s="1537" t="s">
        <v>4736</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4737</v>
      </c>
      <c r="D779" s="1523">
        <v>1</v>
      </c>
      <c r="E779" s="1523">
        <v>1</v>
      </c>
      <c r="F779" s="1524">
        <v>2</v>
      </c>
      <c r="G779" s="1537" t="s">
        <v>4737</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4738</v>
      </c>
      <c r="D780" s="1523">
        <v>1</v>
      </c>
      <c r="E780" s="1523">
        <v>1</v>
      </c>
      <c r="F780" s="1524">
        <v>2</v>
      </c>
      <c r="G780" s="1537" t="s">
        <v>4738</v>
      </c>
      <c r="H780" s="1521">
        <v>1</v>
      </c>
      <c r="I780" s="1521" t="s">
        <v>4096</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4739</v>
      </c>
      <c r="D781" s="1523">
        <v>1</v>
      </c>
      <c r="E781" s="1523">
        <v>1</v>
      </c>
      <c r="F781" s="1524">
        <v>2</v>
      </c>
      <c r="G781" s="1537" t="s">
        <v>4739</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4740</v>
      </c>
      <c r="D782" s="1523">
        <v>1</v>
      </c>
      <c r="E782" s="1523">
        <v>1</v>
      </c>
      <c r="F782" s="1524">
        <v>2</v>
      </c>
      <c r="G782" s="1537" t="s">
        <v>4740</v>
      </c>
      <c r="H782" s="1521">
        <v>1</v>
      </c>
      <c r="I782" s="1521" t="s">
        <v>4096</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4741</v>
      </c>
      <c r="D783" s="1523">
        <v>1</v>
      </c>
      <c r="E783" s="1523">
        <v>1</v>
      </c>
      <c r="F783" s="1524">
        <v>2</v>
      </c>
      <c r="G783" s="1537" t="s">
        <v>4741</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4742</v>
      </c>
      <c r="D784" s="1523">
        <v>1</v>
      </c>
      <c r="E784" s="1523">
        <v>1</v>
      </c>
      <c r="F784" s="1524">
        <v>2</v>
      </c>
      <c r="G784" s="1537" t="s">
        <v>4742</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4743</v>
      </c>
      <c r="D785" s="1523">
        <v>1</v>
      </c>
      <c r="E785" s="1523">
        <v>1</v>
      </c>
      <c r="F785" s="1524">
        <v>2</v>
      </c>
      <c r="G785" s="1537" t="s">
        <v>4743</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4744</v>
      </c>
      <c r="D786" s="1523">
        <v>1</v>
      </c>
      <c r="E786" s="1523">
        <v>1</v>
      </c>
      <c r="F786" s="1524">
        <v>2</v>
      </c>
      <c r="G786" s="1537" t="s">
        <v>4744</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4745</v>
      </c>
      <c r="D787" s="1523">
        <v>1</v>
      </c>
      <c r="E787" s="1523">
        <v>1</v>
      </c>
      <c r="F787" s="1524">
        <v>2</v>
      </c>
      <c r="G787" s="1537" t="s">
        <v>4745</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4746</v>
      </c>
      <c r="D788" s="1523">
        <v>1</v>
      </c>
      <c r="E788" s="1523">
        <v>1</v>
      </c>
      <c r="F788" s="1524">
        <v>2</v>
      </c>
      <c r="G788" s="1537" t="s">
        <v>4746</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4747</v>
      </c>
      <c r="D789" s="1523">
        <v>1</v>
      </c>
      <c r="E789" s="1523">
        <v>0</v>
      </c>
      <c r="F789" s="1524">
        <v>1</v>
      </c>
      <c r="G789" s="1537" t="s">
        <v>4747</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4748</v>
      </c>
      <c r="D790" s="1523">
        <v>1</v>
      </c>
      <c r="E790" s="1523">
        <v>1</v>
      </c>
      <c r="F790" s="1524">
        <v>2</v>
      </c>
      <c r="G790" s="1537" t="s">
        <v>4748</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4749</v>
      </c>
      <c r="D791" s="1523">
        <v>1</v>
      </c>
      <c r="E791" s="1523">
        <v>1</v>
      </c>
      <c r="F791" s="1524">
        <v>2</v>
      </c>
      <c r="G791" s="1537" t="s">
        <v>4749</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4750</v>
      </c>
      <c r="D792" s="1523">
        <v>1</v>
      </c>
      <c r="E792" s="1523">
        <v>1</v>
      </c>
      <c r="F792" s="1524">
        <v>2</v>
      </c>
      <c r="G792" s="1537" t="s">
        <v>4750</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4751</v>
      </c>
      <c r="D793" s="1523">
        <v>1</v>
      </c>
      <c r="E793" s="1523">
        <v>1</v>
      </c>
      <c r="F793" s="1524">
        <v>2</v>
      </c>
      <c r="G793" s="1537" t="s">
        <v>4751</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4752</v>
      </c>
      <c r="D794" s="1523">
        <v>0</v>
      </c>
      <c r="E794" s="1523">
        <v>0</v>
      </c>
      <c r="F794" s="1524">
        <v>0</v>
      </c>
      <c r="G794" s="1537" t="s">
        <v>4752</v>
      </c>
      <c r="H794" s="1521">
        <v>0</v>
      </c>
      <c r="I794" s="1521" t="s">
        <v>4096</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4753</v>
      </c>
      <c r="D795" s="1523">
        <v>0</v>
      </c>
      <c r="E795" s="1523">
        <v>0</v>
      </c>
      <c r="F795" s="1524">
        <v>0</v>
      </c>
      <c r="G795" s="1537" t="s">
        <v>4753</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4754</v>
      </c>
      <c r="D796" s="1523">
        <v>0</v>
      </c>
      <c r="E796" s="1523">
        <v>0</v>
      </c>
      <c r="F796" s="1524">
        <v>0</v>
      </c>
      <c r="G796" s="1537" t="s">
        <v>4754</v>
      </c>
      <c r="H796" s="1521">
        <v>1</v>
      </c>
      <c r="I796" s="1521" t="s">
        <v>4096</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4755</v>
      </c>
      <c r="D797" s="1523">
        <v>0</v>
      </c>
      <c r="E797" s="1523">
        <v>0</v>
      </c>
      <c r="F797" s="1524">
        <v>0</v>
      </c>
      <c r="G797" s="1537" t="s">
        <v>4755</v>
      </c>
      <c r="H797" s="1521">
        <v>0</v>
      </c>
      <c r="I797" s="1521" t="s">
        <v>4096</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4756</v>
      </c>
      <c r="D798" s="1523">
        <v>1</v>
      </c>
      <c r="E798" s="1523">
        <v>1</v>
      </c>
      <c r="F798" s="1524">
        <v>2</v>
      </c>
      <c r="G798" s="1537" t="s">
        <v>4756</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4757</v>
      </c>
      <c r="D799" s="1523">
        <v>1</v>
      </c>
      <c r="E799" s="1523">
        <v>0</v>
      </c>
      <c r="F799" s="1524">
        <v>1</v>
      </c>
      <c r="G799" s="1537" t="s">
        <v>4757</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4758</v>
      </c>
      <c r="D800" s="1523">
        <v>1</v>
      </c>
      <c r="E800" s="1523">
        <v>0</v>
      </c>
      <c r="F800" s="1524">
        <v>1</v>
      </c>
      <c r="G800" s="1537" t="s">
        <v>4758</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4759</v>
      </c>
      <c r="D801" s="1523">
        <v>1</v>
      </c>
      <c r="E801" s="1523">
        <v>1</v>
      </c>
      <c r="F801" s="1524">
        <v>2</v>
      </c>
      <c r="G801" s="1537" t="s">
        <v>4759</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4760</v>
      </c>
      <c r="D802" s="1523">
        <v>1</v>
      </c>
      <c r="E802" s="1523">
        <v>1</v>
      </c>
      <c r="F802" s="1524">
        <v>2</v>
      </c>
      <c r="G802" s="1537" t="s">
        <v>4760</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4761</v>
      </c>
      <c r="D803" s="1523">
        <v>1</v>
      </c>
      <c r="E803" s="1523">
        <v>1</v>
      </c>
      <c r="F803" s="1524">
        <v>2</v>
      </c>
      <c r="G803" s="1537" t="s">
        <v>4761</v>
      </c>
      <c r="H803" s="1521">
        <v>1</v>
      </c>
      <c r="I803" s="1521" t="s">
        <v>4096</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4762</v>
      </c>
      <c r="D804" s="1523">
        <v>1</v>
      </c>
      <c r="E804" s="1523">
        <v>1</v>
      </c>
      <c r="F804" s="1524">
        <v>2</v>
      </c>
      <c r="G804" s="1537" t="s">
        <v>4762</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4763</v>
      </c>
      <c r="D805" s="1523">
        <v>1</v>
      </c>
      <c r="E805" s="1523">
        <v>0</v>
      </c>
      <c r="F805" s="1524">
        <v>1</v>
      </c>
      <c r="G805" s="1537" t="s">
        <v>4763</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4764</v>
      </c>
      <c r="D806" s="1523">
        <v>0</v>
      </c>
      <c r="E806" s="1523">
        <v>0</v>
      </c>
      <c r="F806" s="1524">
        <v>0</v>
      </c>
      <c r="G806" s="1537" t="s">
        <v>4764</v>
      </c>
      <c r="H806" s="1521">
        <v>0</v>
      </c>
      <c r="I806" s="1521" t="s">
        <v>4096</v>
      </c>
      <c r="J806" s="1538">
        <v>0</v>
      </c>
      <c r="K806" s="1525"/>
      <c r="L806" s="1519">
        <v>13067030800</v>
      </c>
      <c r="M806" s="1520">
        <v>0</v>
      </c>
      <c r="N806" s="1520">
        <v>0</v>
      </c>
      <c r="O806" s="1520">
        <v>0</v>
      </c>
      <c r="T806" s="418"/>
      <c r="U806" s="418"/>
      <c r="AA806" s="27"/>
      <c r="AB806" s="27"/>
      <c r="AC806" s="481"/>
      <c r="AD806" s="481"/>
    </row>
    <row r="807" spans="3:30" ht="13.5">
      <c r="C807" s="1526" t="s">
        <v>4765</v>
      </c>
      <c r="D807" s="1523">
        <v>1</v>
      </c>
      <c r="E807" s="1523">
        <v>1</v>
      </c>
      <c r="F807" s="1524">
        <v>2</v>
      </c>
      <c r="G807" s="1537" t="s">
        <v>4765</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4766</v>
      </c>
      <c r="D808" s="1523">
        <v>1</v>
      </c>
      <c r="E808" s="1523">
        <v>0</v>
      </c>
      <c r="F808" s="1524">
        <v>1</v>
      </c>
      <c r="G808" s="1537" t="s">
        <v>4766</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4767</v>
      </c>
      <c r="D809" s="1523">
        <v>0</v>
      </c>
      <c r="E809" s="1523">
        <v>0</v>
      </c>
      <c r="F809" s="1524">
        <v>0</v>
      </c>
      <c r="G809" s="1537" t="s">
        <v>4767</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4768</v>
      </c>
      <c r="D810" s="1523">
        <v>0</v>
      </c>
      <c r="E810" s="1523">
        <v>0</v>
      </c>
      <c r="F810" s="1524">
        <v>0</v>
      </c>
      <c r="G810" s="1537" t="s">
        <v>4768</v>
      </c>
      <c r="H810" s="1521">
        <v>0</v>
      </c>
      <c r="I810" s="1521">
        <v>0</v>
      </c>
      <c r="J810" s="1538">
        <v>0</v>
      </c>
      <c r="K810" s="1525"/>
      <c r="L810" s="1519">
        <v>13067030905</v>
      </c>
      <c r="M810" s="1520">
        <v>0</v>
      </c>
      <c r="N810" s="1520">
        <v>0</v>
      </c>
      <c r="O810" s="1520">
        <v>0</v>
      </c>
      <c r="AA810" s="27"/>
      <c r="AB810" s="27"/>
      <c r="AC810" s="481"/>
      <c r="AD810" s="481"/>
    </row>
    <row r="811" spans="3:30" ht="13.5">
      <c r="C811" s="1526" t="s">
        <v>4769</v>
      </c>
      <c r="D811" s="1523">
        <v>0</v>
      </c>
      <c r="E811" s="1523">
        <v>0</v>
      </c>
      <c r="F811" s="1524">
        <v>0</v>
      </c>
      <c r="G811" s="1537" t="s">
        <v>4769</v>
      </c>
      <c r="H811" s="1521">
        <v>0</v>
      </c>
      <c r="I811" s="1521">
        <v>0</v>
      </c>
      <c r="J811" s="1538">
        <v>0</v>
      </c>
      <c r="K811" s="1525"/>
      <c r="L811" s="1519">
        <v>13067031001</v>
      </c>
      <c r="M811" s="1520">
        <v>0</v>
      </c>
      <c r="N811" s="1520">
        <v>0</v>
      </c>
      <c r="O811" s="1520">
        <v>0</v>
      </c>
      <c r="AA811" s="27"/>
      <c r="AB811" s="27"/>
      <c r="AC811" s="481"/>
      <c r="AD811" s="481"/>
    </row>
    <row r="812" spans="3:30" ht="13.5">
      <c r="C812" s="1526" t="s">
        <v>4770</v>
      </c>
      <c r="D812" s="1523">
        <v>0</v>
      </c>
      <c r="E812" s="1523">
        <v>0</v>
      </c>
      <c r="F812" s="1524">
        <v>0</v>
      </c>
      <c r="G812" s="1537" t="s">
        <v>4770</v>
      </c>
      <c r="H812" s="1521">
        <v>0</v>
      </c>
      <c r="I812" s="1521">
        <v>0</v>
      </c>
      <c r="J812" s="1538">
        <v>0</v>
      </c>
      <c r="K812" s="1525"/>
      <c r="L812" s="1519">
        <v>13067031002</v>
      </c>
      <c r="M812" s="1520">
        <v>0</v>
      </c>
      <c r="N812" s="1520">
        <v>0</v>
      </c>
      <c r="O812" s="1520">
        <v>0</v>
      </c>
      <c r="AA812" s="27"/>
      <c r="AB812" s="27"/>
      <c r="AC812" s="481"/>
      <c r="AD812" s="481"/>
    </row>
    <row r="813" spans="3:30" ht="13.5">
      <c r="C813" s="1526" t="s">
        <v>4771</v>
      </c>
      <c r="D813" s="1523">
        <v>0</v>
      </c>
      <c r="E813" s="1523">
        <v>0</v>
      </c>
      <c r="F813" s="1524">
        <v>0</v>
      </c>
      <c r="G813" s="1537" t="s">
        <v>4771</v>
      </c>
      <c r="H813" s="1521">
        <v>0</v>
      </c>
      <c r="I813" s="1521">
        <v>0</v>
      </c>
      <c r="J813" s="1538">
        <v>0</v>
      </c>
      <c r="K813" s="1525"/>
      <c r="L813" s="1519">
        <v>13067031004</v>
      </c>
      <c r="M813" s="1520">
        <v>0</v>
      </c>
      <c r="N813" s="1520">
        <v>0</v>
      </c>
      <c r="O813" s="1520">
        <v>0</v>
      </c>
      <c r="AA813" s="27"/>
      <c r="AB813" s="27"/>
      <c r="AC813" s="481"/>
      <c r="AD813" s="481"/>
    </row>
    <row r="814" spans="3:30" ht="13.5">
      <c r="C814" s="1526" t="s">
        <v>4772</v>
      </c>
      <c r="D814" s="1523">
        <v>0</v>
      </c>
      <c r="E814" s="1523">
        <v>0</v>
      </c>
      <c r="F814" s="1524">
        <v>0</v>
      </c>
      <c r="G814" s="1537" t="s">
        <v>4772</v>
      </c>
      <c r="H814" s="1521">
        <v>0</v>
      </c>
      <c r="I814" s="1521">
        <v>0</v>
      </c>
      <c r="J814" s="1538">
        <v>0</v>
      </c>
      <c r="K814" s="1525"/>
      <c r="L814" s="1519">
        <v>13067031005</v>
      </c>
      <c r="M814" s="1520">
        <v>0</v>
      </c>
      <c r="N814" s="1520">
        <v>0</v>
      </c>
      <c r="O814" s="1520">
        <v>0</v>
      </c>
      <c r="AA814" s="27"/>
      <c r="AB814" s="27"/>
      <c r="AC814" s="481"/>
      <c r="AD814" s="481"/>
    </row>
    <row r="815" spans="3:30" ht="13.5">
      <c r="C815" s="1526" t="s">
        <v>4773</v>
      </c>
      <c r="D815" s="1523">
        <v>0</v>
      </c>
      <c r="E815" s="1523">
        <v>0</v>
      </c>
      <c r="F815" s="1524">
        <v>0</v>
      </c>
      <c r="G815" s="1537" t="s">
        <v>4773</v>
      </c>
      <c r="H815" s="1521">
        <v>0</v>
      </c>
      <c r="I815" s="1521">
        <v>0</v>
      </c>
      <c r="J815" s="1538">
        <v>0</v>
      </c>
      <c r="K815" s="1525"/>
      <c r="L815" s="1519">
        <v>13067031101</v>
      </c>
      <c r="M815" s="1520">
        <v>0</v>
      </c>
      <c r="N815" s="1520">
        <v>0</v>
      </c>
      <c r="O815" s="1520">
        <v>0</v>
      </c>
      <c r="AA815" s="27"/>
      <c r="AB815" s="27"/>
      <c r="AC815" s="481"/>
      <c r="AD815" s="481"/>
    </row>
    <row r="816" spans="3:30" ht="13.5">
      <c r="C816" s="1526" t="s">
        <v>4774</v>
      </c>
      <c r="D816" s="1523">
        <v>1</v>
      </c>
      <c r="E816" s="1523">
        <v>0</v>
      </c>
      <c r="F816" s="1524">
        <v>1</v>
      </c>
      <c r="G816" s="1537" t="s">
        <v>4774</v>
      </c>
      <c r="H816" s="1521">
        <v>1</v>
      </c>
      <c r="I816" s="1521">
        <v>1</v>
      </c>
      <c r="J816" s="1538">
        <v>2</v>
      </c>
      <c r="K816" s="1525"/>
      <c r="L816" s="1519">
        <v>13067031106</v>
      </c>
      <c r="M816" s="1520">
        <v>1</v>
      </c>
      <c r="N816" s="1520">
        <v>1</v>
      </c>
      <c r="O816" s="1520">
        <v>2</v>
      </c>
      <c r="AA816" s="27"/>
      <c r="AB816" s="27"/>
      <c r="AC816" s="481"/>
      <c r="AD816" s="481"/>
    </row>
    <row r="817" spans="3:30" ht="13.5">
      <c r="C817" s="1526" t="s">
        <v>4775</v>
      </c>
      <c r="D817" s="1523">
        <v>1</v>
      </c>
      <c r="E817" s="1523">
        <v>0</v>
      </c>
      <c r="F817" s="1524">
        <v>1</v>
      </c>
      <c r="G817" s="1537" t="s">
        <v>4775</v>
      </c>
      <c r="H817" s="1521">
        <v>1</v>
      </c>
      <c r="I817" s="1521">
        <v>1</v>
      </c>
      <c r="J817" s="1538">
        <v>2</v>
      </c>
      <c r="K817" s="1525"/>
      <c r="L817" s="1519">
        <v>13067031108</v>
      </c>
      <c r="M817" s="1520">
        <v>1</v>
      </c>
      <c r="N817" s="1520">
        <v>1</v>
      </c>
      <c r="O817" s="1520">
        <v>2</v>
      </c>
      <c r="AA817" s="27"/>
      <c r="AB817" s="27"/>
      <c r="AC817" s="481"/>
      <c r="AD817" s="481"/>
    </row>
    <row r="818" spans="3:30" ht="13.5">
      <c r="C818" s="1526" t="s">
        <v>4776</v>
      </c>
      <c r="D818" s="1523">
        <v>1</v>
      </c>
      <c r="E818" s="1523">
        <v>0</v>
      </c>
      <c r="F818" s="1524">
        <v>1</v>
      </c>
      <c r="G818" s="1537" t="s">
        <v>4776</v>
      </c>
      <c r="H818" s="1521">
        <v>1</v>
      </c>
      <c r="I818" s="1521">
        <v>0</v>
      </c>
      <c r="J818" s="1538">
        <v>1</v>
      </c>
      <c r="K818" s="1525"/>
      <c r="L818" s="1519">
        <v>13067031110</v>
      </c>
      <c r="M818" s="1520">
        <v>1</v>
      </c>
      <c r="N818" s="1520">
        <v>0</v>
      </c>
      <c r="O818" s="1520">
        <v>1</v>
      </c>
      <c r="AA818" s="27"/>
      <c r="AB818" s="27"/>
      <c r="AC818" s="481"/>
      <c r="AD818" s="481"/>
    </row>
    <row r="819" spans="3:30" ht="13.5">
      <c r="C819" s="1526" t="s">
        <v>4777</v>
      </c>
      <c r="D819" s="1523">
        <v>1</v>
      </c>
      <c r="E819" s="1523">
        <v>1</v>
      </c>
      <c r="F819" s="1524">
        <v>2</v>
      </c>
      <c r="G819" s="1537" t="s">
        <v>4777</v>
      </c>
      <c r="H819" s="1521">
        <v>1</v>
      </c>
      <c r="I819" s="1521">
        <v>1</v>
      </c>
      <c r="J819" s="1538">
        <v>2</v>
      </c>
      <c r="K819" s="1525"/>
      <c r="L819" s="1519">
        <v>13067031111</v>
      </c>
      <c r="M819" s="1520">
        <v>1</v>
      </c>
      <c r="N819" s="1520">
        <v>1</v>
      </c>
      <c r="O819" s="1520">
        <v>2</v>
      </c>
      <c r="AA819" s="27"/>
      <c r="AB819" s="27"/>
      <c r="AC819" s="481"/>
      <c r="AD819" s="481"/>
    </row>
    <row r="820" spans="3:30" ht="13.5">
      <c r="C820" s="1526" t="s">
        <v>4778</v>
      </c>
      <c r="D820" s="1523">
        <v>1</v>
      </c>
      <c r="E820" s="1523">
        <v>1</v>
      </c>
      <c r="F820" s="1524">
        <v>2</v>
      </c>
      <c r="G820" s="1537" t="s">
        <v>4778</v>
      </c>
      <c r="H820" s="1521">
        <v>1</v>
      </c>
      <c r="I820" s="1521">
        <v>1</v>
      </c>
      <c r="J820" s="1538">
        <v>2</v>
      </c>
      <c r="K820" s="1525"/>
      <c r="L820" s="1519">
        <v>13067031112</v>
      </c>
      <c r="M820" s="1520">
        <v>1</v>
      </c>
      <c r="N820" s="1520">
        <v>1</v>
      </c>
      <c r="O820" s="1520">
        <v>2</v>
      </c>
      <c r="AA820" s="27"/>
      <c r="AB820" s="27"/>
      <c r="AC820" s="481"/>
      <c r="AD820" s="481"/>
    </row>
    <row r="821" spans="3:30" ht="13.5">
      <c r="C821" s="1526" t="s">
        <v>4779</v>
      </c>
      <c r="D821" s="1523">
        <v>0</v>
      </c>
      <c r="E821" s="1523">
        <v>0</v>
      </c>
      <c r="F821" s="1524">
        <v>0</v>
      </c>
      <c r="G821" s="1537" t="s">
        <v>4779</v>
      </c>
      <c r="H821" s="1521">
        <v>1</v>
      </c>
      <c r="I821" s="1521" t="s">
        <v>4096</v>
      </c>
      <c r="J821" s="1538">
        <v>1</v>
      </c>
      <c r="K821" s="1525"/>
      <c r="L821" s="1519">
        <v>13067031113</v>
      </c>
      <c r="M821" s="1520">
        <v>1</v>
      </c>
      <c r="N821" s="1520">
        <v>0</v>
      </c>
      <c r="O821" s="1520">
        <v>1</v>
      </c>
      <c r="AA821" s="27"/>
      <c r="AB821" s="27"/>
      <c r="AC821" s="481"/>
      <c r="AD821" s="481"/>
    </row>
    <row r="822" spans="3:30" ht="13.5">
      <c r="C822" s="1526" t="s">
        <v>4780</v>
      </c>
      <c r="D822" s="1523">
        <v>0</v>
      </c>
      <c r="E822" s="1523">
        <v>0</v>
      </c>
      <c r="F822" s="1524">
        <v>0</v>
      </c>
      <c r="G822" s="1537" t="s">
        <v>4780</v>
      </c>
      <c r="H822" s="1521">
        <v>1</v>
      </c>
      <c r="I822" s="1521">
        <v>0</v>
      </c>
      <c r="J822" s="1538">
        <v>1</v>
      </c>
      <c r="K822" s="1525"/>
      <c r="L822" s="1519">
        <v>13067031114</v>
      </c>
      <c r="M822" s="1520">
        <v>1</v>
      </c>
      <c r="N822" s="1520">
        <v>0</v>
      </c>
      <c r="O822" s="1520">
        <v>1</v>
      </c>
      <c r="AA822" s="27"/>
      <c r="AB822" s="27"/>
      <c r="AC822" s="481"/>
      <c r="AD822" s="481"/>
    </row>
    <row r="823" spans="3:30" ht="13.5">
      <c r="C823" s="1526" t="s">
        <v>4781</v>
      </c>
      <c r="D823" s="1523">
        <v>1</v>
      </c>
      <c r="E823" s="1523">
        <v>0</v>
      </c>
      <c r="F823" s="1524">
        <v>1</v>
      </c>
      <c r="G823" s="1537" t="s">
        <v>4781</v>
      </c>
      <c r="H823" s="1521">
        <v>1</v>
      </c>
      <c r="I823" s="1521">
        <v>0</v>
      </c>
      <c r="J823" s="1538">
        <v>1</v>
      </c>
      <c r="K823" s="1525"/>
      <c r="L823" s="1519">
        <v>13067031115</v>
      </c>
      <c r="M823" s="1520">
        <v>1</v>
      </c>
      <c r="N823" s="1520">
        <v>0</v>
      </c>
      <c r="O823" s="1520">
        <v>1</v>
      </c>
      <c r="AA823" s="27"/>
      <c r="AB823" s="27"/>
      <c r="AC823" s="481"/>
      <c r="AD823" s="481"/>
    </row>
    <row r="824" spans="3:30" ht="13.5">
      <c r="C824" s="1526" t="s">
        <v>4782</v>
      </c>
      <c r="D824" s="1523">
        <v>0</v>
      </c>
      <c r="E824" s="1523">
        <v>0</v>
      </c>
      <c r="F824" s="1524">
        <v>0</v>
      </c>
      <c r="G824" s="1537" t="s">
        <v>4782</v>
      </c>
      <c r="H824" s="1521">
        <v>0</v>
      </c>
      <c r="I824" s="1521" t="s">
        <v>4096</v>
      </c>
      <c r="J824" s="1538">
        <v>0</v>
      </c>
      <c r="K824" s="1525"/>
      <c r="L824" s="1519">
        <v>13067031116</v>
      </c>
      <c r="M824" s="1520">
        <v>0</v>
      </c>
      <c r="N824" s="1520">
        <v>0</v>
      </c>
      <c r="O824" s="1520">
        <v>0</v>
      </c>
      <c r="AA824" s="27"/>
      <c r="AB824" s="27"/>
      <c r="AC824" s="481"/>
      <c r="AD824" s="481"/>
    </row>
    <row r="825" spans="3:30" ht="13.5">
      <c r="C825" s="1526" t="s">
        <v>4783</v>
      </c>
      <c r="D825" s="1523">
        <v>1</v>
      </c>
      <c r="E825" s="1523">
        <v>1</v>
      </c>
      <c r="F825" s="1524">
        <v>2</v>
      </c>
      <c r="G825" s="1537" t="s">
        <v>4783</v>
      </c>
      <c r="H825" s="1521">
        <v>1</v>
      </c>
      <c r="I825" s="1521">
        <v>1</v>
      </c>
      <c r="J825" s="1538">
        <v>2</v>
      </c>
      <c r="K825" s="1525"/>
      <c r="L825" s="1519">
        <v>13067031117</v>
      </c>
      <c r="M825" s="1520">
        <v>1</v>
      </c>
      <c r="N825" s="1520">
        <v>1</v>
      </c>
      <c r="O825" s="1520">
        <v>2</v>
      </c>
      <c r="AA825" s="27"/>
      <c r="AB825" s="27"/>
      <c r="AC825" s="481"/>
      <c r="AD825" s="481"/>
    </row>
    <row r="826" spans="3:30" ht="13.5">
      <c r="C826" s="1526" t="s">
        <v>4784</v>
      </c>
      <c r="D826" s="1523">
        <v>1</v>
      </c>
      <c r="E826" s="1523">
        <v>1</v>
      </c>
      <c r="F826" s="1524">
        <v>2</v>
      </c>
      <c r="G826" s="1537" t="s">
        <v>4784</v>
      </c>
      <c r="H826" s="1521">
        <v>1</v>
      </c>
      <c r="I826" s="1521">
        <v>1</v>
      </c>
      <c r="J826" s="1538">
        <v>2</v>
      </c>
      <c r="K826" s="1525"/>
      <c r="L826" s="1519">
        <v>13067031118</v>
      </c>
      <c r="M826" s="1520">
        <v>1</v>
      </c>
      <c r="N826" s="1520">
        <v>1</v>
      </c>
      <c r="O826" s="1520">
        <v>2</v>
      </c>
      <c r="AA826" s="27"/>
      <c r="AB826" s="27"/>
      <c r="AC826" s="481"/>
      <c r="AD826" s="481"/>
    </row>
    <row r="827" spans="3:30" ht="13.5">
      <c r="C827" s="1526" t="s">
        <v>4785</v>
      </c>
      <c r="D827" s="1523">
        <v>1</v>
      </c>
      <c r="E827" s="1523">
        <v>1</v>
      </c>
      <c r="F827" s="1524">
        <v>2</v>
      </c>
      <c r="G827" s="1537" t="s">
        <v>4785</v>
      </c>
      <c r="H827" s="1521">
        <v>1</v>
      </c>
      <c r="I827" s="1521">
        <v>1</v>
      </c>
      <c r="J827" s="1538">
        <v>2</v>
      </c>
      <c r="K827" s="1525"/>
      <c r="L827" s="1519">
        <v>13067031205</v>
      </c>
      <c r="M827" s="1520">
        <v>1</v>
      </c>
      <c r="N827" s="1520">
        <v>1</v>
      </c>
      <c r="O827" s="1520">
        <v>2</v>
      </c>
      <c r="AA827" s="27"/>
      <c r="AB827" s="27"/>
      <c r="AC827" s="481"/>
      <c r="AD827" s="481"/>
    </row>
    <row r="828" spans="3:30" ht="13.5">
      <c r="C828" s="1526" t="s">
        <v>4786</v>
      </c>
      <c r="D828" s="1523">
        <v>1</v>
      </c>
      <c r="E828" s="1523">
        <v>1</v>
      </c>
      <c r="F828" s="1524">
        <v>2</v>
      </c>
      <c r="G828" s="1537" t="s">
        <v>4786</v>
      </c>
      <c r="H828" s="1521">
        <v>1</v>
      </c>
      <c r="I828" s="1521">
        <v>1</v>
      </c>
      <c r="J828" s="1538">
        <v>2</v>
      </c>
      <c r="K828" s="1525"/>
      <c r="L828" s="1519">
        <v>13067031206</v>
      </c>
      <c r="M828" s="1520">
        <v>1</v>
      </c>
      <c r="N828" s="1520">
        <v>1</v>
      </c>
      <c r="O828" s="1520">
        <v>2</v>
      </c>
      <c r="AA828" s="27"/>
      <c r="AB828" s="27"/>
      <c r="AC828" s="481"/>
      <c r="AD828" s="481"/>
    </row>
    <row r="829" spans="3:30" ht="13.5">
      <c r="C829" s="1526" t="s">
        <v>4787</v>
      </c>
      <c r="D829" s="1523">
        <v>1</v>
      </c>
      <c r="E829" s="1523">
        <v>1</v>
      </c>
      <c r="F829" s="1524">
        <v>2</v>
      </c>
      <c r="G829" s="1537" t="s">
        <v>4787</v>
      </c>
      <c r="H829" s="1521">
        <v>1</v>
      </c>
      <c r="I829" s="1521" t="s">
        <v>4096</v>
      </c>
      <c r="J829" s="1538">
        <v>1</v>
      </c>
      <c r="K829" s="1525"/>
      <c r="L829" s="1519">
        <v>13067031207</v>
      </c>
      <c r="M829" s="1520">
        <v>1</v>
      </c>
      <c r="N829" s="1520">
        <v>1</v>
      </c>
      <c r="O829" s="1520">
        <v>2</v>
      </c>
      <c r="AA829" s="27"/>
      <c r="AB829" s="27"/>
      <c r="AC829" s="481"/>
      <c r="AD829" s="481"/>
    </row>
    <row r="830" spans="3:30" ht="13.5">
      <c r="C830" s="1526" t="s">
        <v>4788</v>
      </c>
      <c r="D830" s="1523">
        <v>1</v>
      </c>
      <c r="E830" s="1523">
        <v>1</v>
      </c>
      <c r="F830" s="1524">
        <v>2</v>
      </c>
      <c r="G830" s="1537" t="s">
        <v>4788</v>
      </c>
      <c r="H830" s="1521">
        <v>1</v>
      </c>
      <c r="I830" s="1521">
        <v>1</v>
      </c>
      <c r="J830" s="1538">
        <v>2</v>
      </c>
      <c r="K830" s="1525"/>
      <c r="L830" s="1519">
        <v>13067031208</v>
      </c>
      <c r="M830" s="1520">
        <v>1</v>
      </c>
      <c r="N830" s="1520">
        <v>1</v>
      </c>
      <c r="O830" s="1520">
        <v>2</v>
      </c>
      <c r="AA830" s="27"/>
      <c r="AB830" s="27"/>
      <c r="AC830" s="481"/>
      <c r="AD830" s="481"/>
    </row>
    <row r="831" spans="3:30" ht="13.5">
      <c r="C831" s="1526" t="s">
        <v>4789</v>
      </c>
      <c r="D831" s="1523">
        <v>1</v>
      </c>
      <c r="E831" s="1523">
        <v>1</v>
      </c>
      <c r="F831" s="1524">
        <v>2</v>
      </c>
      <c r="G831" s="1537" t="s">
        <v>4789</v>
      </c>
      <c r="H831" s="1521">
        <v>1</v>
      </c>
      <c r="I831" s="1521">
        <v>1</v>
      </c>
      <c r="J831" s="1538">
        <v>2</v>
      </c>
      <c r="K831" s="1525"/>
      <c r="L831" s="1519">
        <v>13067031209</v>
      </c>
      <c r="M831" s="1520">
        <v>1</v>
      </c>
      <c r="N831" s="1520">
        <v>1</v>
      </c>
      <c r="O831" s="1520">
        <v>2</v>
      </c>
      <c r="AA831" s="27"/>
      <c r="AB831" s="27"/>
      <c r="AC831" s="481"/>
      <c r="AD831" s="481"/>
    </row>
    <row r="832" spans="3:30" ht="13.5">
      <c r="C832" s="1526" t="s">
        <v>4790</v>
      </c>
      <c r="D832" s="1523">
        <v>1</v>
      </c>
      <c r="E832" s="1523">
        <v>1</v>
      </c>
      <c r="F832" s="1524">
        <v>2</v>
      </c>
      <c r="G832" s="1537" t="s">
        <v>4790</v>
      </c>
      <c r="H832" s="1521">
        <v>1</v>
      </c>
      <c r="I832" s="1521">
        <v>1</v>
      </c>
      <c r="J832" s="1538">
        <v>2</v>
      </c>
      <c r="K832" s="1525"/>
      <c r="L832" s="1519">
        <v>13067031211</v>
      </c>
      <c r="M832" s="1520">
        <v>1</v>
      </c>
      <c r="N832" s="1520">
        <v>1</v>
      </c>
      <c r="O832" s="1520">
        <v>2</v>
      </c>
      <c r="AA832" s="27"/>
      <c r="AB832" s="27"/>
      <c r="AC832" s="481"/>
      <c r="AD832" s="481"/>
    </row>
    <row r="833" spans="3:30" ht="13.5">
      <c r="C833" s="1526" t="s">
        <v>4791</v>
      </c>
      <c r="D833" s="1523">
        <v>1</v>
      </c>
      <c r="E833" s="1523">
        <v>1</v>
      </c>
      <c r="F833" s="1524">
        <v>2</v>
      </c>
      <c r="G833" s="1537" t="s">
        <v>4791</v>
      </c>
      <c r="H833" s="1521">
        <v>1</v>
      </c>
      <c r="I833" s="1521">
        <v>1</v>
      </c>
      <c r="J833" s="1538">
        <v>2</v>
      </c>
      <c r="K833" s="1525"/>
      <c r="L833" s="1519">
        <v>13067031212</v>
      </c>
      <c r="M833" s="1520">
        <v>1</v>
      </c>
      <c r="N833" s="1520">
        <v>1</v>
      </c>
      <c r="O833" s="1520">
        <v>2</v>
      </c>
      <c r="AA833" s="27"/>
      <c r="AB833" s="27"/>
      <c r="AC833" s="481"/>
      <c r="AD833" s="481"/>
    </row>
    <row r="834" spans="3:30" ht="13.5">
      <c r="C834" s="1526" t="s">
        <v>4792</v>
      </c>
      <c r="D834" s="1523">
        <v>1</v>
      </c>
      <c r="E834" s="1523">
        <v>0</v>
      </c>
      <c r="F834" s="1524">
        <v>1</v>
      </c>
      <c r="G834" s="1537" t="s">
        <v>4792</v>
      </c>
      <c r="H834" s="1521">
        <v>1</v>
      </c>
      <c r="I834" s="1521">
        <v>0</v>
      </c>
      <c r="J834" s="1538">
        <v>1</v>
      </c>
      <c r="K834" s="1525"/>
      <c r="L834" s="1519">
        <v>13067031306</v>
      </c>
      <c r="M834" s="1520">
        <v>1</v>
      </c>
      <c r="N834" s="1520">
        <v>0</v>
      </c>
      <c r="O834" s="1520">
        <v>1</v>
      </c>
      <c r="AA834" s="27"/>
      <c r="AB834" s="27"/>
      <c r="AC834" s="481"/>
      <c r="AD834" s="481"/>
    </row>
    <row r="835" spans="3:30" ht="13.5">
      <c r="C835" s="1526" t="s">
        <v>4793</v>
      </c>
      <c r="D835" s="1523">
        <v>1</v>
      </c>
      <c r="E835" s="1523">
        <v>1</v>
      </c>
      <c r="F835" s="1524">
        <v>2</v>
      </c>
      <c r="G835" s="1537" t="s">
        <v>4793</v>
      </c>
      <c r="H835" s="1521">
        <v>1</v>
      </c>
      <c r="I835" s="1521">
        <v>1</v>
      </c>
      <c r="J835" s="1538">
        <v>2</v>
      </c>
      <c r="K835" s="1525"/>
      <c r="L835" s="1519">
        <v>13067031307</v>
      </c>
      <c r="M835" s="1520">
        <v>1</v>
      </c>
      <c r="N835" s="1520">
        <v>1</v>
      </c>
      <c r="O835" s="1520">
        <v>2</v>
      </c>
      <c r="AA835" s="27"/>
      <c r="AB835" s="27"/>
      <c r="AC835" s="481"/>
      <c r="AD835" s="481"/>
    </row>
    <row r="836" spans="3:30" ht="13.5">
      <c r="C836" s="1526" t="s">
        <v>4794</v>
      </c>
      <c r="D836" s="1523">
        <v>0</v>
      </c>
      <c r="E836" s="1523">
        <v>0</v>
      </c>
      <c r="F836" s="1524">
        <v>0</v>
      </c>
      <c r="G836" s="1537" t="s">
        <v>4794</v>
      </c>
      <c r="H836" s="1521">
        <v>0</v>
      </c>
      <c r="I836" s="1521">
        <v>0</v>
      </c>
      <c r="J836" s="1538">
        <v>0</v>
      </c>
      <c r="K836" s="1525"/>
      <c r="L836" s="1519">
        <v>13067031308</v>
      </c>
      <c r="M836" s="1520">
        <v>0</v>
      </c>
      <c r="N836" s="1520">
        <v>0</v>
      </c>
      <c r="O836" s="1520">
        <v>0</v>
      </c>
      <c r="AA836" s="27"/>
      <c r="AB836" s="27"/>
      <c r="AC836" s="481"/>
      <c r="AD836" s="481"/>
    </row>
    <row r="837" spans="3:30" ht="13.5">
      <c r="C837" s="1526" t="s">
        <v>4795</v>
      </c>
      <c r="D837" s="1523">
        <v>0</v>
      </c>
      <c r="E837" s="1523">
        <v>0</v>
      </c>
      <c r="F837" s="1524">
        <v>0</v>
      </c>
      <c r="G837" s="1537" t="s">
        <v>4795</v>
      </c>
      <c r="H837" s="1521">
        <v>1</v>
      </c>
      <c r="I837" s="1521">
        <v>0</v>
      </c>
      <c r="J837" s="1538">
        <v>1</v>
      </c>
      <c r="K837" s="1525"/>
      <c r="L837" s="1519">
        <v>13067031309</v>
      </c>
      <c r="M837" s="1520">
        <v>1</v>
      </c>
      <c r="N837" s="1520">
        <v>0</v>
      </c>
      <c r="O837" s="1520">
        <v>1</v>
      </c>
      <c r="AA837" s="27"/>
      <c r="AB837" s="27"/>
      <c r="AC837" s="481"/>
      <c r="AD837" s="481"/>
    </row>
    <row r="838" spans="3:30" ht="13.5">
      <c r="C838" s="1526" t="s">
        <v>4796</v>
      </c>
      <c r="D838" s="1523">
        <v>0</v>
      </c>
      <c r="E838" s="1523">
        <v>0</v>
      </c>
      <c r="F838" s="1524">
        <v>0</v>
      </c>
      <c r="G838" s="1537" t="s">
        <v>4796</v>
      </c>
      <c r="H838" s="1521">
        <v>0</v>
      </c>
      <c r="I838" s="1521">
        <v>0</v>
      </c>
      <c r="J838" s="1538">
        <v>0</v>
      </c>
      <c r="K838" s="1525"/>
      <c r="L838" s="1519">
        <v>13067031310</v>
      </c>
      <c r="M838" s="1520">
        <v>0</v>
      </c>
      <c r="N838" s="1520">
        <v>0</v>
      </c>
      <c r="O838" s="1520">
        <v>0</v>
      </c>
      <c r="AA838" s="27"/>
      <c r="AC838" s="481"/>
    </row>
    <row r="839" spans="3:30" ht="13.5">
      <c r="C839" s="1526" t="s">
        <v>4797</v>
      </c>
      <c r="D839" s="1523">
        <v>0</v>
      </c>
      <c r="E839" s="1523">
        <v>0</v>
      </c>
      <c r="F839" s="1524">
        <v>0</v>
      </c>
      <c r="G839" s="1537" t="s">
        <v>4797</v>
      </c>
      <c r="H839" s="1521">
        <v>0</v>
      </c>
      <c r="I839" s="1521">
        <v>0</v>
      </c>
      <c r="J839" s="1538">
        <v>0</v>
      </c>
      <c r="K839" s="1525"/>
      <c r="L839" s="1519">
        <v>13067031311</v>
      </c>
      <c r="M839" s="1520">
        <v>0</v>
      </c>
      <c r="N839" s="1520">
        <v>0</v>
      </c>
      <c r="O839" s="1520">
        <v>0</v>
      </c>
      <c r="AA839" s="27"/>
      <c r="AC839" s="481"/>
    </row>
    <row r="840" spans="3:30" ht="13.5">
      <c r="C840" s="1526" t="s">
        <v>4798</v>
      </c>
      <c r="D840" s="1523">
        <v>1</v>
      </c>
      <c r="E840" s="1523">
        <v>1</v>
      </c>
      <c r="F840" s="1524">
        <v>2</v>
      </c>
      <c r="G840" s="1537" t="s">
        <v>4798</v>
      </c>
      <c r="H840" s="1521">
        <v>1</v>
      </c>
      <c r="I840" s="1521">
        <v>1</v>
      </c>
      <c r="J840" s="1538">
        <v>2</v>
      </c>
      <c r="K840" s="1525"/>
      <c r="L840" s="1519">
        <v>13067031312</v>
      </c>
      <c r="M840" s="1520">
        <v>1</v>
      </c>
      <c r="N840" s="1520">
        <v>1</v>
      </c>
      <c r="O840" s="1520">
        <v>2</v>
      </c>
      <c r="AA840" s="27"/>
      <c r="AC840" s="481"/>
    </row>
    <row r="841" spans="3:30" ht="13.5">
      <c r="C841" s="1526" t="s">
        <v>4799</v>
      </c>
      <c r="D841" s="1523">
        <v>1</v>
      </c>
      <c r="E841" s="1523">
        <v>1</v>
      </c>
      <c r="F841" s="1524">
        <v>2</v>
      </c>
      <c r="G841" s="1537" t="s">
        <v>4799</v>
      </c>
      <c r="H841" s="1521">
        <v>1</v>
      </c>
      <c r="I841" s="1521">
        <v>1</v>
      </c>
      <c r="J841" s="1538">
        <v>2</v>
      </c>
      <c r="K841" s="1525"/>
      <c r="L841" s="1519">
        <v>13067031313</v>
      </c>
      <c r="M841" s="1520">
        <v>1</v>
      </c>
      <c r="N841" s="1520">
        <v>1</v>
      </c>
      <c r="O841" s="1520">
        <v>2</v>
      </c>
      <c r="AA841" s="27"/>
      <c r="AC841" s="481"/>
    </row>
    <row r="842" spans="3:30" ht="13.5">
      <c r="C842" s="1526" t="s">
        <v>4800</v>
      </c>
      <c r="D842" s="1523">
        <v>1</v>
      </c>
      <c r="E842" s="1523">
        <v>1</v>
      </c>
      <c r="F842" s="1524">
        <v>2</v>
      </c>
      <c r="G842" s="1537" t="s">
        <v>4800</v>
      </c>
      <c r="H842" s="1521">
        <v>1</v>
      </c>
      <c r="I842" s="1521">
        <v>1</v>
      </c>
      <c r="J842" s="1538">
        <v>2</v>
      </c>
      <c r="K842" s="1525"/>
      <c r="L842" s="1519">
        <v>13067031404</v>
      </c>
      <c r="M842" s="1520">
        <v>1</v>
      </c>
      <c r="N842" s="1520">
        <v>1</v>
      </c>
      <c r="O842" s="1520">
        <v>2</v>
      </c>
      <c r="AA842" s="27"/>
      <c r="AC842" s="481"/>
    </row>
    <row r="843" spans="3:30" ht="13.5">
      <c r="C843" s="1526" t="s">
        <v>4801</v>
      </c>
      <c r="D843" s="1523">
        <v>0</v>
      </c>
      <c r="E843" s="1523">
        <v>1</v>
      </c>
      <c r="F843" s="1524">
        <v>1</v>
      </c>
      <c r="G843" s="1537" t="s">
        <v>4801</v>
      </c>
      <c r="H843" s="1521">
        <v>1</v>
      </c>
      <c r="I843" s="1521">
        <v>0</v>
      </c>
      <c r="J843" s="1538">
        <v>1</v>
      </c>
      <c r="K843" s="1525"/>
      <c r="L843" s="1519">
        <v>13067031405</v>
      </c>
      <c r="M843" s="1520">
        <v>1</v>
      </c>
      <c r="N843" s="1520">
        <v>1</v>
      </c>
      <c r="O843" s="1520">
        <v>1</v>
      </c>
      <c r="AA843" s="27"/>
      <c r="AC843" s="481"/>
    </row>
    <row r="844" spans="3:30" ht="13.5">
      <c r="C844" s="1526" t="s">
        <v>4802</v>
      </c>
      <c r="D844" s="1523">
        <v>0</v>
      </c>
      <c r="E844" s="1523">
        <v>0</v>
      </c>
      <c r="F844" s="1524">
        <v>0</v>
      </c>
      <c r="G844" s="1537" t="s">
        <v>4802</v>
      </c>
      <c r="H844" s="1521">
        <v>0</v>
      </c>
      <c r="I844" s="1521">
        <v>0</v>
      </c>
      <c r="J844" s="1538">
        <v>0</v>
      </c>
      <c r="K844" s="1525"/>
      <c r="L844" s="1519">
        <v>13067031406</v>
      </c>
      <c r="M844" s="1520">
        <v>0</v>
      </c>
      <c r="N844" s="1520">
        <v>0</v>
      </c>
      <c r="O844" s="1520">
        <v>0</v>
      </c>
      <c r="AA844" s="27"/>
      <c r="AC844" s="481"/>
    </row>
    <row r="845" spans="3:30" ht="13.5">
      <c r="C845" s="1526" t="s">
        <v>4803</v>
      </c>
      <c r="D845" s="1523">
        <v>0</v>
      </c>
      <c r="E845" s="1523">
        <v>0</v>
      </c>
      <c r="F845" s="1524">
        <v>0</v>
      </c>
      <c r="G845" s="1537" t="s">
        <v>4803</v>
      </c>
      <c r="H845" s="1521">
        <v>1</v>
      </c>
      <c r="I845" s="1521">
        <v>0</v>
      </c>
      <c r="J845" s="1538">
        <v>0</v>
      </c>
      <c r="K845" s="1525"/>
      <c r="L845" s="1519">
        <v>13067031408</v>
      </c>
      <c r="M845" s="1520">
        <v>1</v>
      </c>
      <c r="N845" s="1520">
        <v>0</v>
      </c>
      <c r="O845" s="1520">
        <v>0</v>
      </c>
      <c r="AA845" s="27"/>
      <c r="AC845" s="481"/>
    </row>
    <row r="846" spans="3:30" ht="13.5">
      <c r="C846" s="1526" t="s">
        <v>4804</v>
      </c>
      <c r="D846" s="1523">
        <v>0</v>
      </c>
      <c r="E846" s="1523">
        <v>0</v>
      </c>
      <c r="F846" s="1524">
        <v>0</v>
      </c>
      <c r="G846" s="1537" t="s">
        <v>4804</v>
      </c>
      <c r="H846" s="1521">
        <v>0</v>
      </c>
      <c r="I846" s="1521">
        <v>0</v>
      </c>
      <c r="J846" s="1538">
        <v>0</v>
      </c>
      <c r="K846" s="1525"/>
      <c r="L846" s="1519">
        <v>13067031409</v>
      </c>
      <c r="M846" s="1520">
        <v>0</v>
      </c>
      <c r="N846" s="1520">
        <v>0</v>
      </c>
      <c r="O846" s="1520">
        <v>0</v>
      </c>
      <c r="AA846" s="27"/>
      <c r="AC846" s="481"/>
    </row>
    <row r="847" spans="3:30" ht="13.5">
      <c r="C847" s="1526" t="s">
        <v>4805</v>
      </c>
      <c r="D847" s="1523">
        <v>1</v>
      </c>
      <c r="E847" s="1523">
        <v>0</v>
      </c>
      <c r="F847" s="1524">
        <v>1</v>
      </c>
      <c r="G847" s="1537" t="s">
        <v>4805</v>
      </c>
      <c r="H847" s="1521">
        <v>1</v>
      </c>
      <c r="I847" s="1521">
        <v>1</v>
      </c>
      <c r="J847" s="1538">
        <v>2</v>
      </c>
      <c r="K847" s="1525"/>
      <c r="L847" s="1519">
        <v>13067031503</v>
      </c>
      <c r="M847" s="1520">
        <v>1</v>
      </c>
      <c r="N847" s="1520">
        <v>1</v>
      </c>
      <c r="O847" s="1520">
        <v>2</v>
      </c>
      <c r="AA847" s="27"/>
      <c r="AC847" s="481"/>
    </row>
    <row r="848" spans="3:30" ht="13.5">
      <c r="C848" s="1526" t="s">
        <v>4806</v>
      </c>
      <c r="D848" s="1523">
        <v>1</v>
      </c>
      <c r="E848" s="1523">
        <v>1</v>
      </c>
      <c r="F848" s="1524">
        <v>2</v>
      </c>
      <c r="G848" s="1537" t="s">
        <v>4806</v>
      </c>
      <c r="H848" s="1521">
        <v>1</v>
      </c>
      <c r="I848" s="1521">
        <v>1</v>
      </c>
      <c r="J848" s="1538">
        <v>2</v>
      </c>
      <c r="K848" s="1525"/>
      <c r="L848" s="1519">
        <v>13067031505</v>
      </c>
      <c r="M848" s="1520">
        <v>1</v>
      </c>
      <c r="N848" s="1520">
        <v>1</v>
      </c>
      <c r="O848" s="1520">
        <v>2</v>
      </c>
      <c r="AA848" s="27"/>
      <c r="AC848" s="481"/>
    </row>
    <row r="849" spans="3:29" ht="13.5">
      <c r="C849" s="1526" t="s">
        <v>4807</v>
      </c>
      <c r="D849" s="1523">
        <v>0</v>
      </c>
      <c r="E849" s="1523">
        <v>1</v>
      </c>
      <c r="F849" s="1524">
        <v>1</v>
      </c>
      <c r="G849" s="1537" t="s">
        <v>4807</v>
      </c>
      <c r="H849" s="1521">
        <v>0</v>
      </c>
      <c r="I849" s="1521">
        <v>0</v>
      </c>
      <c r="J849" s="1538">
        <v>0</v>
      </c>
      <c r="K849" s="1525"/>
      <c r="L849" s="1519">
        <v>13067031506</v>
      </c>
      <c r="M849" s="1520">
        <v>0</v>
      </c>
      <c r="N849" s="1520">
        <v>1</v>
      </c>
      <c r="O849" s="1520">
        <v>1</v>
      </c>
      <c r="AA849" s="27"/>
      <c r="AC849" s="481"/>
    </row>
    <row r="850" spans="3:29" ht="13.5">
      <c r="C850" s="1526" t="s">
        <v>4808</v>
      </c>
      <c r="D850" s="1523">
        <v>0</v>
      </c>
      <c r="E850" s="1523">
        <v>0</v>
      </c>
      <c r="F850" s="1524">
        <v>0</v>
      </c>
      <c r="G850" s="1537" t="s">
        <v>4808</v>
      </c>
      <c r="H850" s="1521">
        <v>0</v>
      </c>
      <c r="I850" s="1521">
        <v>1</v>
      </c>
      <c r="J850" s="1538">
        <v>1</v>
      </c>
      <c r="K850" s="1525"/>
      <c r="L850" s="1519">
        <v>13067031507</v>
      </c>
      <c r="M850" s="1520">
        <v>0</v>
      </c>
      <c r="N850" s="1520">
        <v>1</v>
      </c>
      <c r="O850" s="1520">
        <v>1</v>
      </c>
      <c r="AA850" s="27"/>
      <c r="AC850" s="481"/>
    </row>
    <row r="851" spans="3:29" ht="13.5">
      <c r="C851" s="1526" t="s">
        <v>4809</v>
      </c>
      <c r="D851" s="1523">
        <v>1</v>
      </c>
      <c r="E851" s="1523">
        <v>1</v>
      </c>
      <c r="F851" s="1524">
        <v>2</v>
      </c>
      <c r="G851" s="1537" t="s">
        <v>4809</v>
      </c>
      <c r="H851" s="1521">
        <v>1</v>
      </c>
      <c r="I851" s="1521">
        <v>1</v>
      </c>
      <c r="J851" s="1538">
        <v>2</v>
      </c>
      <c r="K851" s="1525"/>
      <c r="L851" s="1519">
        <v>13067031508</v>
      </c>
      <c r="M851" s="1520">
        <v>1</v>
      </c>
      <c r="N851" s="1520">
        <v>1</v>
      </c>
      <c r="O851" s="1520">
        <v>2</v>
      </c>
      <c r="AA851" s="27"/>
      <c r="AC851" s="481"/>
    </row>
    <row r="852" spans="3:29" ht="13.5">
      <c r="C852" s="1526" t="s">
        <v>4810</v>
      </c>
      <c r="D852" s="1523">
        <v>1</v>
      </c>
      <c r="E852" s="1523">
        <v>1</v>
      </c>
      <c r="F852" s="1524">
        <v>2</v>
      </c>
      <c r="G852" s="1537" t="s">
        <v>4810</v>
      </c>
      <c r="H852" s="1521">
        <v>1</v>
      </c>
      <c r="I852" s="1521">
        <v>1</v>
      </c>
      <c r="J852" s="1538">
        <v>2</v>
      </c>
      <c r="K852" s="1525"/>
      <c r="L852" s="1519">
        <v>13067031509</v>
      </c>
      <c r="M852" s="1520">
        <v>1</v>
      </c>
      <c r="N852" s="1520">
        <v>1</v>
      </c>
      <c r="O852" s="1520">
        <v>2</v>
      </c>
      <c r="AA852" s="27"/>
      <c r="AC852" s="481"/>
    </row>
    <row r="853" spans="3:29" ht="13.5">
      <c r="C853" s="1526" t="s">
        <v>4811</v>
      </c>
      <c r="D853" s="1523">
        <v>0</v>
      </c>
      <c r="E853" s="1523">
        <v>0</v>
      </c>
      <c r="F853" s="1524">
        <v>0</v>
      </c>
      <c r="G853" s="1537" t="s">
        <v>4811</v>
      </c>
      <c r="H853" s="1521">
        <v>0</v>
      </c>
      <c r="I853" s="1521">
        <v>0</v>
      </c>
      <c r="J853" s="1538">
        <v>0</v>
      </c>
      <c r="K853" s="1525"/>
      <c r="L853" s="1519">
        <v>13069010100</v>
      </c>
      <c r="M853" s="1520">
        <v>0</v>
      </c>
      <c r="N853" s="1520">
        <v>0</v>
      </c>
      <c r="O853" s="1520">
        <v>0</v>
      </c>
      <c r="AA853" s="27"/>
      <c r="AC853" s="481"/>
    </row>
    <row r="854" spans="3:29" ht="13.5">
      <c r="C854" s="1526" t="s">
        <v>4812</v>
      </c>
      <c r="D854" s="1523">
        <v>0</v>
      </c>
      <c r="E854" s="1523">
        <v>0</v>
      </c>
      <c r="F854" s="1524">
        <v>0</v>
      </c>
      <c r="G854" s="1537" t="s">
        <v>4812</v>
      </c>
      <c r="H854" s="1521">
        <v>0</v>
      </c>
      <c r="I854" s="1521" t="s">
        <v>4096</v>
      </c>
      <c r="J854" s="1538">
        <v>0</v>
      </c>
      <c r="K854" s="1525"/>
      <c r="L854" s="1519">
        <v>13069010200</v>
      </c>
      <c r="M854" s="1520">
        <v>0</v>
      </c>
      <c r="N854" s="1520">
        <v>0</v>
      </c>
      <c r="O854" s="1520">
        <v>0</v>
      </c>
      <c r="AA854" s="27"/>
      <c r="AC854" s="481"/>
    </row>
    <row r="855" spans="3:29" ht="13.5">
      <c r="C855" s="1526" t="s">
        <v>4813</v>
      </c>
      <c r="D855" s="1523">
        <v>0</v>
      </c>
      <c r="E855" s="1523">
        <v>0</v>
      </c>
      <c r="F855" s="1524">
        <v>0</v>
      </c>
      <c r="G855" s="1537" t="s">
        <v>4813</v>
      </c>
      <c r="H855" s="1521">
        <v>0</v>
      </c>
      <c r="I855" s="1521">
        <v>0</v>
      </c>
      <c r="J855" s="1538">
        <v>0</v>
      </c>
      <c r="K855" s="1525"/>
      <c r="L855" s="1519">
        <v>13069010300</v>
      </c>
      <c r="M855" s="1520">
        <v>0</v>
      </c>
      <c r="N855" s="1520">
        <v>0</v>
      </c>
      <c r="O855" s="1520">
        <v>0</v>
      </c>
      <c r="AA855" s="27"/>
      <c r="AC855" s="481"/>
    </row>
    <row r="856" spans="3:29" ht="13.5">
      <c r="C856" s="1526" t="s">
        <v>4814</v>
      </c>
      <c r="D856" s="1523">
        <v>0</v>
      </c>
      <c r="E856" s="1523">
        <v>0</v>
      </c>
      <c r="F856" s="1524">
        <v>0</v>
      </c>
      <c r="G856" s="1537" t="s">
        <v>4814</v>
      </c>
      <c r="H856" s="1521">
        <v>0</v>
      </c>
      <c r="I856" s="1521">
        <v>0</v>
      </c>
      <c r="J856" s="1538">
        <v>0</v>
      </c>
      <c r="K856" s="1525"/>
      <c r="L856" s="1519">
        <v>13069010400</v>
      </c>
      <c r="M856" s="1520">
        <v>0</v>
      </c>
      <c r="N856" s="1520">
        <v>0</v>
      </c>
      <c r="O856" s="1520">
        <v>0</v>
      </c>
      <c r="AA856" s="27"/>
      <c r="AC856" s="481"/>
    </row>
    <row r="857" spans="3:29" ht="13.5">
      <c r="C857" s="1526" t="s">
        <v>4815</v>
      </c>
      <c r="D857" s="1523">
        <v>0</v>
      </c>
      <c r="E857" s="1523">
        <v>0</v>
      </c>
      <c r="F857" s="1524">
        <v>0</v>
      </c>
      <c r="G857" s="1537" t="s">
        <v>4815</v>
      </c>
      <c r="H857" s="1521">
        <v>0</v>
      </c>
      <c r="I857" s="1521">
        <v>0</v>
      </c>
      <c r="J857" s="1538">
        <v>0</v>
      </c>
      <c r="K857" s="1525"/>
      <c r="L857" s="1519">
        <v>13069010500</v>
      </c>
      <c r="M857" s="1520">
        <v>0</v>
      </c>
      <c r="N857" s="1520">
        <v>0</v>
      </c>
      <c r="O857" s="1520">
        <v>0</v>
      </c>
      <c r="AA857" s="27"/>
      <c r="AC857" s="481"/>
    </row>
    <row r="858" spans="3:29" ht="13.5">
      <c r="C858" s="1526" t="s">
        <v>4816</v>
      </c>
      <c r="D858" s="1523">
        <v>1</v>
      </c>
      <c r="E858" s="1523">
        <v>1</v>
      </c>
      <c r="F858" s="1524">
        <v>2</v>
      </c>
      <c r="G858" s="1537" t="s">
        <v>4816</v>
      </c>
      <c r="H858" s="1521">
        <v>0</v>
      </c>
      <c r="I858" s="1521">
        <v>0</v>
      </c>
      <c r="J858" s="1538">
        <v>0</v>
      </c>
      <c r="K858" s="1525"/>
      <c r="L858" s="1519">
        <v>13069010600</v>
      </c>
      <c r="M858" s="1520">
        <v>1</v>
      </c>
      <c r="N858" s="1520">
        <v>1</v>
      </c>
      <c r="O858" s="1520">
        <v>2</v>
      </c>
      <c r="AA858" s="27"/>
      <c r="AC858" s="481"/>
    </row>
    <row r="859" spans="3:29" ht="13.5">
      <c r="C859" s="1526" t="s">
        <v>4817</v>
      </c>
      <c r="D859" s="1523">
        <v>0</v>
      </c>
      <c r="E859" s="1523">
        <v>0</v>
      </c>
      <c r="F859" s="1524">
        <v>0</v>
      </c>
      <c r="G859" s="1537" t="s">
        <v>4817</v>
      </c>
      <c r="H859" s="1521">
        <v>0</v>
      </c>
      <c r="I859" s="1521">
        <v>0</v>
      </c>
      <c r="J859" s="1538">
        <v>0</v>
      </c>
      <c r="K859" s="1525"/>
      <c r="L859" s="1519">
        <v>13069010700</v>
      </c>
      <c r="M859" s="1520">
        <v>0</v>
      </c>
      <c r="N859" s="1520">
        <v>0</v>
      </c>
      <c r="O859" s="1520">
        <v>0</v>
      </c>
      <c r="AA859" s="27"/>
      <c r="AC859" s="481"/>
    </row>
    <row r="860" spans="3:29" ht="13.5">
      <c r="C860" s="1526" t="s">
        <v>4818</v>
      </c>
      <c r="D860" s="1523">
        <v>0</v>
      </c>
      <c r="E860" s="1523">
        <v>0</v>
      </c>
      <c r="F860" s="1524">
        <v>0</v>
      </c>
      <c r="G860" s="1537" t="s">
        <v>4818</v>
      </c>
      <c r="H860" s="1521">
        <v>0</v>
      </c>
      <c r="I860" s="1521">
        <v>0</v>
      </c>
      <c r="J860" s="1538">
        <v>0</v>
      </c>
      <c r="K860" s="1525"/>
      <c r="L860" s="1519">
        <v>13069010801</v>
      </c>
      <c r="M860" s="1520">
        <v>0</v>
      </c>
      <c r="N860" s="1520">
        <v>0</v>
      </c>
      <c r="O860" s="1520">
        <v>0</v>
      </c>
      <c r="AA860" s="27"/>
      <c r="AC860" s="481"/>
    </row>
    <row r="861" spans="3:29" ht="13.5">
      <c r="C861" s="1526" t="s">
        <v>4819</v>
      </c>
      <c r="D861" s="1523">
        <v>0</v>
      </c>
      <c r="E861" s="1523">
        <v>0</v>
      </c>
      <c r="F861" s="1524">
        <v>0</v>
      </c>
      <c r="G861" s="1537" t="s">
        <v>4819</v>
      </c>
      <c r="H861" s="1521">
        <v>0</v>
      </c>
      <c r="I861" s="1521">
        <v>0</v>
      </c>
      <c r="J861" s="1538">
        <v>0</v>
      </c>
      <c r="K861" s="1525"/>
      <c r="L861" s="1519">
        <v>13069010802</v>
      </c>
      <c r="M861" s="1520">
        <v>0</v>
      </c>
      <c r="N861" s="1520">
        <v>0</v>
      </c>
      <c r="O861" s="1520">
        <v>0</v>
      </c>
      <c r="AA861" s="27"/>
      <c r="AC861" s="481"/>
    </row>
    <row r="862" spans="3:29" ht="13.5">
      <c r="C862" s="1526" t="s">
        <v>4820</v>
      </c>
      <c r="D862" s="1523">
        <v>0</v>
      </c>
      <c r="E862" s="1523">
        <v>0</v>
      </c>
      <c r="F862" s="1524">
        <v>0</v>
      </c>
      <c r="G862" s="1537" t="s">
        <v>4820</v>
      </c>
      <c r="H862" s="1521">
        <v>0</v>
      </c>
      <c r="I862" s="1521">
        <v>0</v>
      </c>
      <c r="J862" s="1538">
        <v>0</v>
      </c>
      <c r="K862" s="1525"/>
      <c r="L862" s="1519">
        <v>13071970100</v>
      </c>
      <c r="M862" s="1520">
        <v>0</v>
      </c>
      <c r="N862" s="1520">
        <v>0</v>
      </c>
      <c r="O862" s="1520">
        <v>0</v>
      </c>
      <c r="AA862" s="27"/>
      <c r="AC862" s="481"/>
    </row>
    <row r="863" spans="3:29" ht="13.5">
      <c r="C863" s="1526" t="s">
        <v>4821</v>
      </c>
      <c r="D863" s="1523">
        <v>0</v>
      </c>
      <c r="E863" s="1523">
        <v>0</v>
      </c>
      <c r="F863" s="1524">
        <v>0</v>
      </c>
      <c r="G863" s="1537" t="s">
        <v>4821</v>
      </c>
      <c r="H863" s="1521">
        <v>0</v>
      </c>
      <c r="I863" s="1521">
        <v>0</v>
      </c>
      <c r="J863" s="1538">
        <v>0</v>
      </c>
      <c r="K863" s="1525"/>
      <c r="L863" s="1519">
        <v>13071970200</v>
      </c>
      <c r="M863" s="1520">
        <v>0</v>
      </c>
      <c r="N863" s="1520">
        <v>0</v>
      </c>
      <c r="O863" s="1520">
        <v>0</v>
      </c>
      <c r="AA863" s="27"/>
      <c r="AC863" s="481"/>
    </row>
    <row r="864" spans="3:29" ht="13.5">
      <c r="C864" s="1526" t="s">
        <v>4822</v>
      </c>
      <c r="D864" s="1523">
        <v>0</v>
      </c>
      <c r="E864" s="1523">
        <v>0</v>
      </c>
      <c r="F864" s="1524">
        <v>0</v>
      </c>
      <c r="G864" s="1537" t="s">
        <v>4822</v>
      </c>
      <c r="H864" s="1521">
        <v>0</v>
      </c>
      <c r="I864" s="1521">
        <v>0</v>
      </c>
      <c r="J864" s="1538">
        <v>0</v>
      </c>
      <c r="K864" s="1525"/>
      <c r="L864" s="1519">
        <v>13071970300</v>
      </c>
      <c r="M864" s="1520">
        <v>0</v>
      </c>
      <c r="N864" s="1520">
        <v>0</v>
      </c>
      <c r="O864" s="1520">
        <v>0</v>
      </c>
      <c r="AA864" s="27"/>
      <c r="AC864" s="481"/>
    </row>
    <row r="865" spans="3:29" ht="13.5">
      <c r="C865" s="1526" t="s">
        <v>4823</v>
      </c>
      <c r="D865" s="1523">
        <v>0</v>
      </c>
      <c r="E865" s="1523">
        <v>0</v>
      </c>
      <c r="F865" s="1524">
        <v>0</v>
      </c>
      <c r="G865" s="1537" t="s">
        <v>4823</v>
      </c>
      <c r="H865" s="1521">
        <v>0</v>
      </c>
      <c r="I865" s="1521">
        <v>0</v>
      </c>
      <c r="J865" s="1538">
        <v>0</v>
      </c>
      <c r="K865" s="1525"/>
      <c r="L865" s="1519">
        <v>13071970400</v>
      </c>
      <c r="M865" s="1520">
        <v>0</v>
      </c>
      <c r="N865" s="1520">
        <v>0</v>
      </c>
      <c r="O865" s="1520">
        <v>0</v>
      </c>
      <c r="AA865" s="27"/>
      <c r="AC865" s="481"/>
    </row>
    <row r="866" spans="3:29" ht="13.5">
      <c r="C866" s="1526" t="s">
        <v>4824</v>
      </c>
      <c r="D866" s="1523">
        <v>0</v>
      </c>
      <c r="E866" s="1523">
        <v>0</v>
      </c>
      <c r="F866" s="1524">
        <v>0</v>
      </c>
      <c r="G866" s="1537" t="s">
        <v>4824</v>
      </c>
      <c r="H866" s="1521">
        <v>0</v>
      </c>
      <c r="I866" s="1521">
        <v>0</v>
      </c>
      <c r="J866" s="1538">
        <v>0</v>
      </c>
      <c r="K866" s="1525"/>
      <c r="L866" s="1519">
        <v>13071970500</v>
      </c>
      <c r="M866" s="1520">
        <v>0</v>
      </c>
      <c r="N866" s="1520">
        <v>0</v>
      </c>
      <c r="O866" s="1520">
        <v>0</v>
      </c>
      <c r="AA866" s="27"/>
      <c r="AC866" s="481"/>
    </row>
    <row r="867" spans="3:29" ht="13.5">
      <c r="C867" s="1526" t="s">
        <v>4825</v>
      </c>
      <c r="D867" s="1523">
        <v>0</v>
      </c>
      <c r="E867" s="1523">
        <v>0</v>
      </c>
      <c r="F867" s="1524">
        <v>0</v>
      </c>
      <c r="G867" s="1537" t="s">
        <v>4825</v>
      </c>
      <c r="H867" s="1521">
        <v>0</v>
      </c>
      <c r="I867" s="1521">
        <v>0</v>
      </c>
      <c r="J867" s="1538">
        <v>0</v>
      </c>
      <c r="K867" s="1525"/>
      <c r="L867" s="1519">
        <v>13071970600</v>
      </c>
      <c r="M867" s="1520">
        <v>0</v>
      </c>
      <c r="N867" s="1520">
        <v>0</v>
      </c>
      <c r="O867" s="1520">
        <v>0</v>
      </c>
      <c r="AA867" s="27"/>
      <c r="AC867" s="481"/>
    </row>
    <row r="868" spans="3:29" ht="13.5">
      <c r="C868" s="1526" t="s">
        <v>4826</v>
      </c>
      <c r="D868" s="1523">
        <v>0</v>
      </c>
      <c r="E868" s="1523">
        <v>0</v>
      </c>
      <c r="F868" s="1524">
        <v>0</v>
      </c>
      <c r="G868" s="1537" t="s">
        <v>4826</v>
      </c>
      <c r="H868" s="1521">
        <v>0</v>
      </c>
      <c r="I868" s="1521">
        <v>0</v>
      </c>
      <c r="J868" s="1538">
        <v>0</v>
      </c>
      <c r="K868" s="1525"/>
      <c r="L868" s="1519">
        <v>13071970701</v>
      </c>
      <c r="M868" s="1520">
        <v>0</v>
      </c>
      <c r="N868" s="1520">
        <v>0</v>
      </c>
      <c r="O868" s="1520">
        <v>0</v>
      </c>
      <c r="AA868" s="27"/>
      <c r="AC868" s="481"/>
    </row>
    <row r="869" spans="3:29" ht="13.5">
      <c r="C869" s="1526" t="s">
        <v>4827</v>
      </c>
      <c r="D869" s="1523">
        <v>0</v>
      </c>
      <c r="E869" s="1523">
        <v>0</v>
      </c>
      <c r="F869" s="1524">
        <v>0</v>
      </c>
      <c r="G869" s="1537" t="s">
        <v>4827</v>
      </c>
      <c r="H869" s="1521">
        <v>0</v>
      </c>
      <c r="I869" s="1521">
        <v>0</v>
      </c>
      <c r="J869" s="1538">
        <v>0</v>
      </c>
      <c r="K869" s="1525"/>
      <c r="L869" s="1519">
        <v>13071970702</v>
      </c>
      <c r="M869" s="1520">
        <v>0</v>
      </c>
      <c r="N869" s="1520">
        <v>0</v>
      </c>
      <c r="O869" s="1520">
        <v>0</v>
      </c>
      <c r="AA869" s="27"/>
      <c r="AC869" s="481"/>
    </row>
    <row r="870" spans="3:29" ht="13.5">
      <c r="C870" s="1526" t="s">
        <v>4828</v>
      </c>
      <c r="D870" s="1523">
        <v>0</v>
      </c>
      <c r="E870" s="1523">
        <v>0</v>
      </c>
      <c r="F870" s="1524">
        <v>0</v>
      </c>
      <c r="G870" s="1537" t="s">
        <v>4828</v>
      </c>
      <c r="H870" s="1521">
        <v>0</v>
      </c>
      <c r="I870" s="1521">
        <v>0</v>
      </c>
      <c r="J870" s="1538">
        <v>0</v>
      </c>
      <c r="K870" s="1525"/>
      <c r="L870" s="1519">
        <v>13071970800</v>
      </c>
      <c r="M870" s="1520">
        <v>0</v>
      </c>
      <c r="N870" s="1520">
        <v>0</v>
      </c>
      <c r="O870" s="1520">
        <v>0</v>
      </c>
      <c r="AA870" s="27"/>
      <c r="AC870" s="481"/>
    </row>
    <row r="871" spans="3:29" ht="13.5">
      <c r="C871" s="1526" t="s">
        <v>4829</v>
      </c>
      <c r="D871" s="1523">
        <v>0</v>
      </c>
      <c r="E871" s="1523">
        <v>0</v>
      </c>
      <c r="F871" s="1524">
        <v>0</v>
      </c>
      <c r="G871" s="1537" t="s">
        <v>4829</v>
      </c>
      <c r="H871" s="1521">
        <v>0</v>
      </c>
      <c r="I871" s="1521">
        <v>0</v>
      </c>
      <c r="J871" s="1538">
        <v>0</v>
      </c>
      <c r="K871" s="1525"/>
      <c r="L871" s="1519">
        <v>13071970900</v>
      </c>
      <c r="M871" s="1520">
        <v>0</v>
      </c>
      <c r="N871" s="1520">
        <v>0</v>
      </c>
      <c r="O871" s="1520">
        <v>0</v>
      </c>
      <c r="AA871" s="27"/>
      <c r="AC871" s="481"/>
    </row>
    <row r="872" spans="3:29" ht="13.5">
      <c r="C872" s="1526" t="s">
        <v>4830</v>
      </c>
      <c r="D872" s="1523">
        <v>1</v>
      </c>
      <c r="E872" s="1523">
        <v>1</v>
      </c>
      <c r="F872" s="1524">
        <v>2</v>
      </c>
      <c r="G872" s="1537" t="s">
        <v>4830</v>
      </c>
      <c r="H872" s="1521">
        <v>1</v>
      </c>
      <c r="I872" s="1521" t="s">
        <v>4096</v>
      </c>
      <c r="J872" s="1538">
        <v>1</v>
      </c>
      <c r="K872" s="1525"/>
      <c r="L872" s="1519">
        <v>13073030102</v>
      </c>
      <c r="M872" s="1520">
        <v>1</v>
      </c>
      <c r="N872" s="1520">
        <v>1</v>
      </c>
      <c r="O872" s="1520">
        <v>2</v>
      </c>
      <c r="AA872" s="27"/>
      <c r="AC872" s="481"/>
    </row>
    <row r="873" spans="3:29" ht="13.5">
      <c r="C873" s="1526" t="s">
        <v>4831</v>
      </c>
      <c r="D873" s="1523">
        <v>1</v>
      </c>
      <c r="E873" s="1523">
        <v>1</v>
      </c>
      <c r="F873" s="1524">
        <v>2</v>
      </c>
      <c r="G873" s="1537" t="s">
        <v>4831</v>
      </c>
      <c r="H873" s="1521">
        <v>1</v>
      </c>
      <c r="I873" s="1521">
        <v>1</v>
      </c>
      <c r="J873" s="1538">
        <v>2</v>
      </c>
      <c r="K873" s="1525"/>
      <c r="L873" s="1519">
        <v>13073030103</v>
      </c>
      <c r="M873" s="1520">
        <v>1</v>
      </c>
      <c r="N873" s="1520">
        <v>1</v>
      </c>
      <c r="O873" s="1520">
        <v>2</v>
      </c>
      <c r="AA873" s="27"/>
      <c r="AC873" s="481"/>
    </row>
    <row r="874" spans="3:29" ht="13.5">
      <c r="C874" s="1526" t="s">
        <v>4832</v>
      </c>
      <c r="D874" s="1523">
        <v>1</v>
      </c>
      <c r="E874" s="1523">
        <v>1</v>
      </c>
      <c r="F874" s="1524">
        <v>2</v>
      </c>
      <c r="G874" s="1537" t="s">
        <v>4832</v>
      </c>
      <c r="H874" s="1521">
        <v>1</v>
      </c>
      <c r="I874" s="1521">
        <v>1</v>
      </c>
      <c r="J874" s="1538">
        <v>2</v>
      </c>
      <c r="K874" s="1525"/>
      <c r="L874" s="1519">
        <v>13073030105</v>
      </c>
      <c r="M874" s="1520">
        <v>1</v>
      </c>
      <c r="N874" s="1520">
        <v>1</v>
      </c>
      <c r="O874" s="1520">
        <v>2</v>
      </c>
      <c r="AA874" s="27"/>
      <c r="AC874" s="481"/>
    </row>
    <row r="875" spans="3:29" ht="13.5">
      <c r="C875" s="1526" t="s">
        <v>4833</v>
      </c>
      <c r="D875" s="1523">
        <v>1</v>
      </c>
      <c r="E875" s="1523">
        <v>1</v>
      </c>
      <c r="F875" s="1524">
        <v>2</v>
      </c>
      <c r="G875" s="1537" t="s">
        <v>4833</v>
      </c>
      <c r="H875" s="1521">
        <v>1</v>
      </c>
      <c r="I875" s="1521">
        <v>1</v>
      </c>
      <c r="J875" s="1538">
        <v>2</v>
      </c>
      <c r="K875" s="1525"/>
      <c r="L875" s="1519">
        <v>13073030106</v>
      </c>
      <c r="M875" s="1520">
        <v>1</v>
      </c>
      <c r="N875" s="1520">
        <v>1</v>
      </c>
      <c r="O875" s="1520">
        <v>2</v>
      </c>
      <c r="AA875" s="27"/>
      <c r="AC875" s="481"/>
    </row>
    <row r="876" spans="3:29" ht="13.5">
      <c r="C876" s="1526" t="s">
        <v>4834</v>
      </c>
      <c r="D876" s="1523">
        <v>1</v>
      </c>
      <c r="E876" s="1523">
        <v>1</v>
      </c>
      <c r="F876" s="1524">
        <v>2</v>
      </c>
      <c r="G876" s="1537" t="s">
        <v>4834</v>
      </c>
      <c r="H876" s="1521">
        <v>0</v>
      </c>
      <c r="I876" s="1521">
        <v>1</v>
      </c>
      <c r="J876" s="1538">
        <v>1</v>
      </c>
      <c r="K876" s="1525"/>
      <c r="L876" s="1519">
        <v>13073030201</v>
      </c>
      <c r="M876" s="1520">
        <v>1</v>
      </c>
      <c r="N876" s="1520">
        <v>1</v>
      </c>
      <c r="O876" s="1520">
        <v>2</v>
      </c>
      <c r="AA876" s="27"/>
      <c r="AC876" s="481"/>
    </row>
    <row r="877" spans="3:29" ht="13.5">
      <c r="C877" s="1526" t="s">
        <v>4835</v>
      </c>
      <c r="D877" s="1523">
        <v>0</v>
      </c>
      <c r="E877" s="1523">
        <v>1</v>
      </c>
      <c r="F877" s="1524">
        <v>1</v>
      </c>
      <c r="G877" s="1537" t="s">
        <v>4835</v>
      </c>
      <c r="H877" s="1521">
        <v>0</v>
      </c>
      <c r="I877" s="1521">
        <v>1</v>
      </c>
      <c r="J877" s="1538">
        <v>1</v>
      </c>
      <c r="K877" s="1525"/>
      <c r="L877" s="1519">
        <v>13073030202</v>
      </c>
      <c r="M877" s="1520">
        <v>0</v>
      </c>
      <c r="N877" s="1520">
        <v>1</v>
      </c>
      <c r="O877" s="1520">
        <v>1</v>
      </c>
      <c r="AA877" s="27"/>
      <c r="AC877" s="481"/>
    </row>
    <row r="878" spans="3:29" ht="13.5">
      <c r="C878" s="1526" t="s">
        <v>4836</v>
      </c>
      <c r="D878" s="1523">
        <v>1</v>
      </c>
      <c r="E878" s="1523">
        <v>1</v>
      </c>
      <c r="F878" s="1524">
        <v>2</v>
      </c>
      <c r="G878" s="1537" t="s">
        <v>4836</v>
      </c>
      <c r="H878" s="1521">
        <v>1</v>
      </c>
      <c r="I878" s="1521">
        <v>1</v>
      </c>
      <c r="J878" s="1538">
        <v>2</v>
      </c>
      <c r="K878" s="1525"/>
      <c r="L878" s="1519">
        <v>13073030203</v>
      </c>
      <c r="M878" s="1520">
        <v>1</v>
      </c>
      <c r="N878" s="1520">
        <v>1</v>
      </c>
      <c r="O878" s="1520">
        <v>2</v>
      </c>
      <c r="AA878" s="27"/>
      <c r="AC878" s="481"/>
    </row>
    <row r="879" spans="3:29" ht="13.5">
      <c r="C879" s="1526" t="s">
        <v>4837</v>
      </c>
      <c r="D879" s="1523">
        <v>1</v>
      </c>
      <c r="E879" s="1523">
        <v>1</v>
      </c>
      <c r="F879" s="1524">
        <v>2</v>
      </c>
      <c r="G879" s="1537" t="s">
        <v>4837</v>
      </c>
      <c r="H879" s="1521">
        <v>1</v>
      </c>
      <c r="I879" s="1521">
        <v>1</v>
      </c>
      <c r="J879" s="1538">
        <v>2</v>
      </c>
      <c r="K879" s="1525"/>
      <c r="L879" s="1519">
        <v>13073030302</v>
      </c>
      <c r="M879" s="1520">
        <v>1</v>
      </c>
      <c r="N879" s="1520">
        <v>1</v>
      </c>
      <c r="O879" s="1520">
        <v>2</v>
      </c>
      <c r="AA879" s="27"/>
      <c r="AC879" s="481"/>
    </row>
    <row r="880" spans="3:29" ht="13.5">
      <c r="C880" s="1526" t="s">
        <v>4838</v>
      </c>
      <c r="D880" s="1523">
        <v>1</v>
      </c>
      <c r="E880" s="1523">
        <v>1</v>
      </c>
      <c r="F880" s="1524">
        <v>2</v>
      </c>
      <c r="G880" s="1537" t="s">
        <v>4838</v>
      </c>
      <c r="H880" s="1521">
        <v>1</v>
      </c>
      <c r="I880" s="1521">
        <v>1</v>
      </c>
      <c r="J880" s="1538">
        <v>2</v>
      </c>
      <c r="K880" s="1525"/>
      <c r="L880" s="1519">
        <v>13073030304</v>
      </c>
      <c r="M880" s="1520">
        <v>1</v>
      </c>
      <c r="N880" s="1520">
        <v>1</v>
      </c>
      <c r="O880" s="1520">
        <v>2</v>
      </c>
    </row>
    <row r="881" spans="3:15" ht="13.5">
      <c r="C881" s="1526" t="s">
        <v>4839</v>
      </c>
      <c r="D881" s="1523">
        <v>1</v>
      </c>
      <c r="E881" s="1523">
        <v>1</v>
      </c>
      <c r="F881" s="1524">
        <v>2</v>
      </c>
      <c r="G881" s="1537" t="s">
        <v>4839</v>
      </c>
      <c r="H881" s="1521">
        <v>1</v>
      </c>
      <c r="I881" s="1521">
        <v>1</v>
      </c>
      <c r="J881" s="1538">
        <v>2</v>
      </c>
      <c r="K881" s="1525"/>
      <c r="L881" s="1519">
        <v>13073030306</v>
      </c>
      <c r="M881" s="1520">
        <v>1</v>
      </c>
      <c r="N881" s="1520">
        <v>1</v>
      </c>
      <c r="O881" s="1520">
        <v>2</v>
      </c>
    </row>
    <row r="882" spans="3:15" ht="13.5">
      <c r="C882" s="1526" t="s">
        <v>4840</v>
      </c>
      <c r="D882" s="1523">
        <v>1</v>
      </c>
      <c r="E882" s="1523">
        <v>1</v>
      </c>
      <c r="F882" s="1524">
        <v>2</v>
      </c>
      <c r="G882" s="1537" t="s">
        <v>4840</v>
      </c>
      <c r="H882" s="1521">
        <v>1</v>
      </c>
      <c r="I882" s="1521">
        <v>1</v>
      </c>
      <c r="J882" s="1538">
        <v>2</v>
      </c>
      <c r="K882" s="1525"/>
      <c r="L882" s="1519">
        <v>13073030307</v>
      </c>
      <c r="M882" s="1520">
        <v>1</v>
      </c>
      <c r="N882" s="1520">
        <v>1</v>
      </c>
      <c r="O882" s="1520">
        <v>2</v>
      </c>
    </row>
    <row r="883" spans="3:15" ht="13.5">
      <c r="C883" s="1526" t="s">
        <v>4841</v>
      </c>
      <c r="D883" s="1523">
        <v>1</v>
      </c>
      <c r="E883" s="1523">
        <v>1</v>
      </c>
      <c r="F883" s="1524">
        <v>2</v>
      </c>
      <c r="G883" s="1537" t="s">
        <v>4841</v>
      </c>
      <c r="H883" s="1521">
        <v>1</v>
      </c>
      <c r="I883" s="1521">
        <v>1</v>
      </c>
      <c r="J883" s="1538">
        <v>2</v>
      </c>
      <c r="K883" s="1525"/>
      <c r="L883" s="1519">
        <v>13073030308</v>
      </c>
      <c r="M883" s="1520">
        <v>1</v>
      </c>
      <c r="N883" s="1520">
        <v>1</v>
      </c>
      <c r="O883" s="1520">
        <v>2</v>
      </c>
    </row>
    <row r="884" spans="3:15" ht="13.5">
      <c r="C884" s="1526" t="s">
        <v>4842</v>
      </c>
      <c r="D884" s="1523">
        <v>1</v>
      </c>
      <c r="E884" s="1523">
        <v>1</v>
      </c>
      <c r="F884" s="1524">
        <v>2</v>
      </c>
      <c r="G884" s="1537" t="s">
        <v>4842</v>
      </c>
      <c r="H884" s="1521">
        <v>1</v>
      </c>
      <c r="I884" s="1521">
        <v>1</v>
      </c>
      <c r="J884" s="1538">
        <v>2</v>
      </c>
      <c r="K884" s="1525"/>
      <c r="L884" s="1519">
        <v>13073030309</v>
      </c>
      <c r="M884" s="1520">
        <v>1</v>
      </c>
      <c r="N884" s="1520">
        <v>1</v>
      </c>
      <c r="O884" s="1520">
        <v>2</v>
      </c>
    </row>
    <row r="885" spans="3:15" ht="13.5">
      <c r="C885" s="1526" t="s">
        <v>4843</v>
      </c>
      <c r="D885" s="1523">
        <v>0</v>
      </c>
      <c r="E885" s="1523">
        <v>0</v>
      </c>
      <c r="F885" s="1524">
        <v>0</v>
      </c>
      <c r="G885" s="1537" t="s">
        <v>4843</v>
      </c>
      <c r="H885" s="1521">
        <v>0</v>
      </c>
      <c r="I885" s="1521">
        <v>0</v>
      </c>
      <c r="J885" s="1538">
        <v>0</v>
      </c>
      <c r="K885" s="1525"/>
      <c r="L885" s="1519">
        <v>13073030401</v>
      </c>
      <c r="M885" s="1520">
        <v>0</v>
      </c>
      <c r="N885" s="1520">
        <v>0</v>
      </c>
      <c r="O885" s="1520">
        <v>0</v>
      </c>
    </row>
    <row r="886" spans="3:15" ht="13.5">
      <c r="C886" s="1526" t="s">
        <v>4844</v>
      </c>
      <c r="D886" s="1523">
        <v>1</v>
      </c>
      <c r="E886" s="1523">
        <v>1</v>
      </c>
      <c r="F886" s="1524">
        <v>2</v>
      </c>
      <c r="G886" s="1537" t="s">
        <v>4844</v>
      </c>
      <c r="H886" s="1521">
        <v>1</v>
      </c>
      <c r="I886" s="1521">
        <v>1</v>
      </c>
      <c r="J886" s="1538">
        <v>2</v>
      </c>
      <c r="K886" s="1525"/>
      <c r="L886" s="1519">
        <v>13073030402</v>
      </c>
      <c r="M886" s="1520">
        <v>1</v>
      </c>
      <c r="N886" s="1520">
        <v>1</v>
      </c>
      <c r="O886" s="1520">
        <v>2</v>
      </c>
    </row>
    <row r="887" spans="3:15" ht="13.5">
      <c r="C887" s="1526" t="s">
        <v>4845</v>
      </c>
      <c r="D887" s="1523">
        <v>1</v>
      </c>
      <c r="E887" s="1523">
        <v>1</v>
      </c>
      <c r="F887" s="1524">
        <v>2</v>
      </c>
      <c r="G887" s="1537" t="s">
        <v>4845</v>
      </c>
      <c r="H887" s="1521">
        <v>1</v>
      </c>
      <c r="I887" s="1521">
        <v>0</v>
      </c>
      <c r="J887" s="1538">
        <v>1</v>
      </c>
      <c r="K887" s="1525"/>
      <c r="L887" s="1519">
        <v>13073030503</v>
      </c>
      <c r="M887" s="1520">
        <v>1</v>
      </c>
      <c r="N887" s="1520">
        <v>1</v>
      </c>
      <c r="O887" s="1520">
        <v>2</v>
      </c>
    </row>
    <row r="888" spans="3:15" ht="13.5">
      <c r="C888" s="1526" t="s">
        <v>4846</v>
      </c>
      <c r="D888" s="1523">
        <v>1</v>
      </c>
      <c r="E888" s="1523">
        <v>1</v>
      </c>
      <c r="F888" s="1524">
        <v>2</v>
      </c>
      <c r="G888" s="1537" t="s">
        <v>4846</v>
      </c>
      <c r="H888" s="1521">
        <v>0</v>
      </c>
      <c r="I888" s="1521">
        <v>1</v>
      </c>
      <c r="J888" s="1538">
        <v>1</v>
      </c>
      <c r="K888" s="1525"/>
      <c r="L888" s="1519">
        <v>13073030504</v>
      </c>
      <c r="M888" s="1520">
        <v>1</v>
      </c>
      <c r="N888" s="1520">
        <v>1</v>
      </c>
      <c r="O888" s="1520">
        <v>2</v>
      </c>
    </row>
    <row r="889" spans="3:15" ht="13.5">
      <c r="C889" s="1526" t="s">
        <v>4847</v>
      </c>
      <c r="D889" s="1523">
        <v>1</v>
      </c>
      <c r="E889" s="1523">
        <v>1</v>
      </c>
      <c r="F889" s="1524">
        <v>2</v>
      </c>
      <c r="G889" s="1537" t="s">
        <v>4847</v>
      </c>
      <c r="H889" s="1521">
        <v>0</v>
      </c>
      <c r="I889" s="1521" t="s">
        <v>4096</v>
      </c>
      <c r="J889" s="1538">
        <v>0</v>
      </c>
      <c r="K889" s="1525"/>
      <c r="L889" s="1519">
        <v>13073030505</v>
      </c>
      <c r="M889" s="1520">
        <v>1</v>
      </c>
      <c r="N889" s="1520">
        <v>1</v>
      </c>
      <c r="O889" s="1520">
        <v>2</v>
      </c>
    </row>
    <row r="890" spans="3:15" ht="13.5">
      <c r="C890" s="1526" t="s">
        <v>4848</v>
      </c>
      <c r="D890" s="1523">
        <v>0</v>
      </c>
      <c r="E890" s="1523">
        <v>1</v>
      </c>
      <c r="F890" s="1524">
        <v>1</v>
      </c>
      <c r="G890" s="1537" t="s">
        <v>4848</v>
      </c>
      <c r="H890" s="1521">
        <v>0</v>
      </c>
      <c r="I890" s="1521">
        <v>0</v>
      </c>
      <c r="J890" s="1538">
        <v>0</v>
      </c>
      <c r="K890" s="1525"/>
      <c r="L890" s="1519">
        <v>13073030506</v>
      </c>
      <c r="M890" s="1520">
        <v>0</v>
      </c>
      <c r="N890" s="1520">
        <v>1</v>
      </c>
      <c r="O890" s="1520">
        <v>1</v>
      </c>
    </row>
    <row r="891" spans="3:15" ht="13.5">
      <c r="C891" s="1526" t="s">
        <v>4849</v>
      </c>
      <c r="D891" s="1523">
        <v>0</v>
      </c>
      <c r="E891" s="1523">
        <v>0</v>
      </c>
      <c r="F891" s="1524">
        <v>0</v>
      </c>
      <c r="G891" s="1537" t="s">
        <v>4849</v>
      </c>
      <c r="H891" s="1521">
        <v>0</v>
      </c>
      <c r="I891" s="1521">
        <v>0</v>
      </c>
      <c r="J891" s="1538">
        <v>0</v>
      </c>
      <c r="K891" s="1525"/>
      <c r="L891" s="1519">
        <v>13073030603</v>
      </c>
      <c r="M891" s="1520">
        <v>0</v>
      </c>
      <c r="N891" s="1520">
        <v>0</v>
      </c>
      <c r="O891" s="1520">
        <v>0</v>
      </c>
    </row>
    <row r="892" spans="3:15" ht="13.5">
      <c r="C892" s="1526" t="s">
        <v>4850</v>
      </c>
      <c r="D892" s="1523">
        <v>0</v>
      </c>
      <c r="E892" s="1523">
        <v>0</v>
      </c>
      <c r="F892" s="1524">
        <v>0</v>
      </c>
      <c r="G892" s="1537" t="s">
        <v>4850</v>
      </c>
      <c r="H892" s="1521">
        <v>0</v>
      </c>
      <c r="I892" s="1521">
        <v>0</v>
      </c>
      <c r="J892" s="1538">
        <v>0</v>
      </c>
      <c r="K892" s="1525"/>
      <c r="L892" s="1519">
        <v>13075960100</v>
      </c>
      <c r="M892" s="1520">
        <v>0</v>
      </c>
      <c r="N892" s="1520">
        <v>0</v>
      </c>
      <c r="O892" s="1520">
        <v>0</v>
      </c>
    </row>
    <row r="893" spans="3:15" ht="13.5">
      <c r="C893" s="1526" t="s">
        <v>4851</v>
      </c>
      <c r="D893" s="1523">
        <v>0</v>
      </c>
      <c r="E893" s="1523">
        <v>0</v>
      </c>
      <c r="F893" s="1524">
        <v>0</v>
      </c>
      <c r="G893" s="1537" t="s">
        <v>4851</v>
      </c>
      <c r="H893" s="1521">
        <v>0</v>
      </c>
      <c r="I893" s="1521">
        <v>0</v>
      </c>
      <c r="J893" s="1538">
        <v>0</v>
      </c>
      <c r="K893" s="1525"/>
      <c r="L893" s="1519">
        <v>13075960200</v>
      </c>
      <c r="M893" s="1520">
        <v>0</v>
      </c>
      <c r="N893" s="1520">
        <v>0</v>
      </c>
      <c r="O893" s="1520">
        <v>0</v>
      </c>
    </row>
    <row r="894" spans="3:15" ht="13.5">
      <c r="C894" s="1526" t="s">
        <v>4852</v>
      </c>
      <c r="D894" s="1523">
        <v>0</v>
      </c>
      <c r="E894" s="1523">
        <v>0</v>
      </c>
      <c r="F894" s="1524">
        <v>0</v>
      </c>
      <c r="G894" s="1537" t="s">
        <v>4852</v>
      </c>
      <c r="H894" s="1521">
        <v>0</v>
      </c>
      <c r="I894" s="1521">
        <v>0</v>
      </c>
      <c r="J894" s="1538">
        <v>0</v>
      </c>
      <c r="K894" s="1525"/>
      <c r="L894" s="1519">
        <v>13075960300</v>
      </c>
      <c r="M894" s="1520">
        <v>0</v>
      </c>
      <c r="N894" s="1520">
        <v>0</v>
      </c>
      <c r="O894" s="1520">
        <v>0</v>
      </c>
    </row>
    <row r="895" spans="3:15" ht="13.5">
      <c r="C895" s="1526" t="s">
        <v>4853</v>
      </c>
      <c r="D895" s="1523">
        <v>0</v>
      </c>
      <c r="E895" s="1523">
        <v>0</v>
      </c>
      <c r="F895" s="1524">
        <v>0</v>
      </c>
      <c r="G895" s="1537" t="s">
        <v>4853</v>
      </c>
      <c r="H895" s="1521">
        <v>0</v>
      </c>
      <c r="I895" s="1521">
        <v>0</v>
      </c>
      <c r="J895" s="1538">
        <v>0</v>
      </c>
      <c r="K895" s="1525"/>
      <c r="L895" s="1519">
        <v>13075960400</v>
      </c>
      <c r="M895" s="1520">
        <v>0</v>
      </c>
      <c r="N895" s="1520">
        <v>0</v>
      </c>
      <c r="O895" s="1520">
        <v>0</v>
      </c>
    </row>
    <row r="896" spans="3:15" ht="13.5">
      <c r="C896" s="1526" t="s">
        <v>4854</v>
      </c>
      <c r="D896" s="1523">
        <v>1</v>
      </c>
      <c r="E896" s="1523">
        <v>1</v>
      </c>
      <c r="F896" s="1524">
        <v>2</v>
      </c>
      <c r="G896" s="1537" t="s">
        <v>4854</v>
      </c>
      <c r="H896" s="1521">
        <v>1</v>
      </c>
      <c r="I896" s="1521">
        <v>0</v>
      </c>
      <c r="J896" s="1538">
        <v>1</v>
      </c>
      <c r="K896" s="1525"/>
      <c r="L896" s="1519">
        <v>13077170100</v>
      </c>
      <c r="M896" s="1520">
        <v>1</v>
      </c>
      <c r="N896" s="1520">
        <v>1</v>
      </c>
      <c r="O896" s="1520">
        <v>2</v>
      </c>
    </row>
    <row r="897" spans="3:15" ht="13.5">
      <c r="C897" s="1526" t="s">
        <v>4855</v>
      </c>
      <c r="D897" s="1523">
        <v>1</v>
      </c>
      <c r="E897" s="1523">
        <v>0</v>
      </c>
      <c r="F897" s="1524">
        <v>1</v>
      </c>
      <c r="G897" s="1537" t="s">
        <v>4855</v>
      </c>
      <c r="H897" s="1521">
        <v>1</v>
      </c>
      <c r="I897" s="1521">
        <v>0</v>
      </c>
      <c r="J897" s="1538">
        <v>1</v>
      </c>
      <c r="K897" s="1525"/>
      <c r="L897" s="1519">
        <v>13077170200</v>
      </c>
      <c r="M897" s="1520">
        <v>1</v>
      </c>
      <c r="N897" s="1520">
        <v>0</v>
      </c>
      <c r="O897" s="1520">
        <v>1</v>
      </c>
    </row>
    <row r="898" spans="3:15" ht="13.5">
      <c r="C898" s="1526" t="s">
        <v>4856</v>
      </c>
      <c r="D898" s="1523">
        <v>1</v>
      </c>
      <c r="E898" s="1523">
        <v>1</v>
      </c>
      <c r="F898" s="1524">
        <v>2</v>
      </c>
      <c r="G898" s="1537" t="s">
        <v>4856</v>
      </c>
      <c r="H898" s="1521">
        <v>1</v>
      </c>
      <c r="I898" s="1521">
        <v>1</v>
      </c>
      <c r="J898" s="1538">
        <v>2</v>
      </c>
      <c r="K898" s="1525"/>
      <c r="L898" s="1519">
        <v>13077170303</v>
      </c>
      <c r="M898" s="1520">
        <v>1</v>
      </c>
      <c r="N898" s="1520">
        <v>1</v>
      </c>
      <c r="O898" s="1520">
        <v>2</v>
      </c>
    </row>
    <row r="899" spans="3:15" ht="13.5">
      <c r="C899" s="1526" t="s">
        <v>4857</v>
      </c>
      <c r="D899" s="1523">
        <v>1</v>
      </c>
      <c r="E899" s="1523">
        <v>1</v>
      </c>
      <c r="F899" s="1524">
        <v>2</v>
      </c>
      <c r="G899" s="1537" t="s">
        <v>4857</v>
      </c>
      <c r="H899" s="1521">
        <v>1</v>
      </c>
      <c r="I899" s="1521">
        <v>1</v>
      </c>
      <c r="J899" s="1538">
        <v>2</v>
      </c>
      <c r="K899" s="1525"/>
      <c r="L899" s="1519">
        <v>13077170304</v>
      </c>
      <c r="M899" s="1520">
        <v>1</v>
      </c>
      <c r="N899" s="1520">
        <v>1</v>
      </c>
      <c r="O899" s="1520">
        <v>2</v>
      </c>
    </row>
    <row r="900" spans="3:15" ht="13.5">
      <c r="C900" s="1526" t="s">
        <v>4858</v>
      </c>
      <c r="D900" s="1523">
        <v>0</v>
      </c>
      <c r="E900" s="1523">
        <v>0</v>
      </c>
      <c r="F900" s="1524">
        <v>0</v>
      </c>
      <c r="G900" s="1537" t="s">
        <v>4858</v>
      </c>
      <c r="H900" s="1521">
        <v>0</v>
      </c>
      <c r="I900" s="1521">
        <v>0</v>
      </c>
      <c r="J900" s="1538">
        <v>0</v>
      </c>
      <c r="K900" s="1525"/>
      <c r="L900" s="1519">
        <v>13077170305</v>
      </c>
      <c r="M900" s="1520">
        <v>0</v>
      </c>
      <c r="N900" s="1520">
        <v>0</v>
      </c>
      <c r="O900" s="1520">
        <v>0</v>
      </c>
    </row>
    <row r="901" spans="3:15" ht="13.5">
      <c r="C901" s="1526" t="s">
        <v>4859</v>
      </c>
      <c r="D901" s="1523">
        <v>1</v>
      </c>
      <c r="E901" s="1523">
        <v>1</v>
      </c>
      <c r="F901" s="1524">
        <v>2</v>
      </c>
      <c r="G901" s="1537" t="s">
        <v>4859</v>
      </c>
      <c r="H901" s="1521">
        <v>1</v>
      </c>
      <c r="I901" s="1521">
        <v>1</v>
      </c>
      <c r="J901" s="1538">
        <v>2</v>
      </c>
      <c r="K901" s="1525"/>
      <c r="L901" s="1519">
        <v>13077170306</v>
      </c>
      <c r="M901" s="1520">
        <v>1</v>
      </c>
      <c r="N901" s="1520">
        <v>1</v>
      </c>
      <c r="O901" s="1520">
        <v>2</v>
      </c>
    </row>
    <row r="902" spans="3:15" ht="13.5">
      <c r="C902" s="1526" t="s">
        <v>4860</v>
      </c>
      <c r="D902" s="1523">
        <v>1</v>
      </c>
      <c r="E902" s="1523">
        <v>1</v>
      </c>
      <c r="F902" s="1524">
        <v>2</v>
      </c>
      <c r="G902" s="1537" t="s">
        <v>4860</v>
      </c>
      <c r="H902" s="1521">
        <v>1</v>
      </c>
      <c r="I902" s="1521">
        <v>1</v>
      </c>
      <c r="J902" s="1538">
        <v>2</v>
      </c>
      <c r="K902" s="1525"/>
      <c r="L902" s="1519">
        <v>13077170402</v>
      </c>
      <c r="M902" s="1520">
        <v>1</v>
      </c>
      <c r="N902" s="1520">
        <v>1</v>
      </c>
      <c r="O902" s="1520">
        <v>2</v>
      </c>
    </row>
    <row r="903" spans="3:15" ht="13.5">
      <c r="C903" s="1526" t="s">
        <v>4861</v>
      </c>
      <c r="D903" s="1523">
        <v>1</v>
      </c>
      <c r="E903" s="1523">
        <v>1</v>
      </c>
      <c r="F903" s="1524">
        <v>2</v>
      </c>
      <c r="G903" s="1537" t="s">
        <v>4861</v>
      </c>
      <c r="H903" s="1521">
        <v>1</v>
      </c>
      <c r="I903" s="1521">
        <v>1</v>
      </c>
      <c r="J903" s="1538">
        <v>2</v>
      </c>
      <c r="K903" s="1525"/>
      <c r="L903" s="1519">
        <v>13077170403</v>
      </c>
      <c r="M903" s="1520">
        <v>1</v>
      </c>
      <c r="N903" s="1520">
        <v>1</v>
      </c>
      <c r="O903" s="1520">
        <v>2</v>
      </c>
    </row>
    <row r="904" spans="3:15" ht="13.5">
      <c r="C904" s="1526" t="s">
        <v>4862</v>
      </c>
      <c r="D904" s="1523">
        <v>1</v>
      </c>
      <c r="E904" s="1523">
        <v>1</v>
      </c>
      <c r="F904" s="1524">
        <v>2</v>
      </c>
      <c r="G904" s="1537" t="s">
        <v>4862</v>
      </c>
      <c r="H904" s="1521">
        <v>1</v>
      </c>
      <c r="I904" s="1521">
        <v>1</v>
      </c>
      <c r="J904" s="1538">
        <v>2</v>
      </c>
      <c r="K904" s="1525"/>
      <c r="L904" s="1519">
        <v>13077170404</v>
      </c>
      <c r="M904" s="1520">
        <v>1</v>
      </c>
      <c r="N904" s="1520">
        <v>1</v>
      </c>
      <c r="O904" s="1520">
        <v>2</v>
      </c>
    </row>
    <row r="905" spans="3:15" ht="13.5">
      <c r="C905" s="1526" t="s">
        <v>4863</v>
      </c>
      <c r="D905" s="1523">
        <v>1</v>
      </c>
      <c r="E905" s="1523">
        <v>1</v>
      </c>
      <c r="F905" s="1524">
        <v>2</v>
      </c>
      <c r="G905" s="1537" t="s">
        <v>4863</v>
      </c>
      <c r="H905" s="1521">
        <v>1</v>
      </c>
      <c r="I905" s="1521">
        <v>1</v>
      </c>
      <c r="J905" s="1538">
        <v>2</v>
      </c>
      <c r="K905" s="1525"/>
      <c r="L905" s="1519">
        <v>13077170405</v>
      </c>
      <c r="M905" s="1520">
        <v>1</v>
      </c>
      <c r="N905" s="1520">
        <v>1</v>
      </c>
      <c r="O905" s="1520">
        <v>2</v>
      </c>
    </row>
    <row r="906" spans="3:15" ht="13.5">
      <c r="C906" s="1526" t="s">
        <v>4864</v>
      </c>
      <c r="D906" s="1523">
        <v>1</v>
      </c>
      <c r="E906" s="1523">
        <v>1</v>
      </c>
      <c r="F906" s="1524">
        <v>2</v>
      </c>
      <c r="G906" s="1537" t="s">
        <v>4864</v>
      </c>
      <c r="H906" s="1521">
        <v>1</v>
      </c>
      <c r="I906" s="1521">
        <v>1</v>
      </c>
      <c r="J906" s="1538">
        <v>2</v>
      </c>
      <c r="K906" s="1525"/>
      <c r="L906" s="1519">
        <v>13077170406</v>
      </c>
      <c r="M906" s="1520">
        <v>1</v>
      </c>
      <c r="N906" s="1520">
        <v>1</v>
      </c>
      <c r="O906" s="1520">
        <v>2</v>
      </c>
    </row>
    <row r="907" spans="3:15" ht="13.5">
      <c r="C907" s="1526" t="s">
        <v>4865</v>
      </c>
      <c r="D907" s="1523">
        <v>1</v>
      </c>
      <c r="E907" s="1523">
        <v>1</v>
      </c>
      <c r="F907" s="1524">
        <v>2</v>
      </c>
      <c r="G907" s="1537" t="s">
        <v>4865</v>
      </c>
      <c r="H907" s="1521">
        <v>1</v>
      </c>
      <c r="I907" s="1521">
        <v>1</v>
      </c>
      <c r="J907" s="1538">
        <v>2</v>
      </c>
      <c r="K907" s="1525"/>
      <c r="L907" s="1519">
        <v>13077170501</v>
      </c>
      <c r="M907" s="1520">
        <v>1</v>
      </c>
      <c r="N907" s="1520">
        <v>1</v>
      </c>
      <c r="O907" s="1520">
        <v>2</v>
      </c>
    </row>
    <row r="908" spans="3:15" ht="13.5">
      <c r="C908" s="1526" t="s">
        <v>4866</v>
      </c>
      <c r="D908" s="1523">
        <v>1</v>
      </c>
      <c r="E908" s="1523">
        <v>1</v>
      </c>
      <c r="F908" s="1524">
        <v>2</v>
      </c>
      <c r="G908" s="1537" t="s">
        <v>4866</v>
      </c>
      <c r="H908" s="1521">
        <v>1</v>
      </c>
      <c r="I908" s="1521">
        <v>1</v>
      </c>
      <c r="J908" s="1538">
        <v>2</v>
      </c>
      <c r="K908" s="1525"/>
      <c r="L908" s="1519">
        <v>13077170502</v>
      </c>
      <c r="M908" s="1520">
        <v>1</v>
      </c>
      <c r="N908" s="1520">
        <v>1</v>
      </c>
      <c r="O908" s="1520">
        <v>2</v>
      </c>
    </row>
    <row r="909" spans="3:15" ht="13.5">
      <c r="C909" s="1526" t="s">
        <v>4867</v>
      </c>
      <c r="D909" s="1523">
        <v>1</v>
      </c>
      <c r="E909" s="1523">
        <v>1</v>
      </c>
      <c r="F909" s="1524">
        <v>2</v>
      </c>
      <c r="G909" s="1537" t="s">
        <v>4867</v>
      </c>
      <c r="H909" s="1521">
        <v>1</v>
      </c>
      <c r="I909" s="1521">
        <v>1</v>
      </c>
      <c r="J909" s="1538">
        <v>2</v>
      </c>
      <c r="K909" s="1525"/>
      <c r="L909" s="1519">
        <v>13077170503</v>
      </c>
      <c r="M909" s="1520">
        <v>1</v>
      </c>
      <c r="N909" s="1520">
        <v>1</v>
      </c>
      <c r="O909" s="1520">
        <v>2</v>
      </c>
    </row>
    <row r="910" spans="3:15" ht="13.5">
      <c r="C910" s="1526" t="s">
        <v>4868</v>
      </c>
      <c r="D910" s="1523">
        <v>0</v>
      </c>
      <c r="E910" s="1523">
        <v>0</v>
      </c>
      <c r="F910" s="1524">
        <v>0</v>
      </c>
      <c r="G910" s="1537" t="s">
        <v>4868</v>
      </c>
      <c r="H910" s="1521">
        <v>0</v>
      </c>
      <c r="I910" s="1521">
        <v>0</v>
      </c>
      <c r="J910" s="1538">
        <v>0</v>
      </c>
      <c r="K910" s="1525"/>
      <c r="L910" s="1519">
        <v>13077170601</v>
      </c>
      <c r="M910" s="1520">
        <v>0</v>
      </c>
      <c r="N910" s="1520">
        <v>0</v>
      </c>
      <c r="O910" s="1520">
        <v>0</v>
      </c>
    </row>
    <row r="911" spans="3:15" ht="13.5">
      <c r="C911" s="1526" t="s">
        <v>4869</v>
      </c>
      <c r="D911" s="1523">
        <v>1</v>
      </c>
      <c r="E911" s="1523">
        <v>1</v>
      </c>
      <c r="F911" s="1524">
        <v>2</v>
      </c>
      <c r="G911" s="1537" t="s">
        <v>4869</v>
      </c>
      <c r="H911" s="1521">
        <v>1</v>
      </c>
      <c r="I911" s="1521" t="s">
        <v>4096</v>
      </c>
      <c r="J911" s="1538">
        <v>1</v>
      </c>
      <c r="K911" s="1525"/>
      <c r="L911" s="1519">
        <v>13077170602</v>
      </c>
      <c r="M911" s="1520">
        <v>1</v>
      </c>
      <c r="N911" s="1520">
        <v>1</v>
      </c>
      <c r="O911" s="1520">
        <v>2</v>
      </c>
    </row>
    <row r="912" spans="3:15" ht="13.5">
      <c r="C912" s="1526" t="s">
        <v>4870</v>
      </c>
      <c r="D912" s="1523">
        <v>1</v>
      </c>
      <c r="E912" s="1523">
        <v>1</v>
      </c>
      <c r="F912" s="1524">
        <v>2</v>
      </c>
      <c r="G912" s="1537" t="s">
        <v>4870</v>
      </c>
      <c r="H912" s="1521">
        <v>1</v>
      </c>
      <c r="I912" s="1521">
        <v>1</v>
      </c>
      <c r="J912" s="1538">
        <v>2</v>
      </c>
      <c r="K912" s="1525"/>
      <c r="L912" s="1519">
        <v>13077170603</v>
      </c>
      <c r="M912" s="1520">
        <v>1</v>
      </c>
      <c r="N912" s="1520">
        <v>1</v>
      </c>
      <c r="O912" s="1520">
        <v>2</v>
      </c>
    </row>
    <row r="913" spans="3:15" ht="13.5">
      <c r="C913" s="1526" t="s">
        <v>4871</v>
      </c>
      <c r="D913" s="1523">
        <v>0</v>
      </c>
      <c r="E913" s="1523">
        <v>0</v>
      </c>
      <c r="F913" s="1524">
        <v>0</v>
      </c>
      <c r="G913" s="1537" t="s">
        <v>4871</v>
      </c>
      <c r="H913" s="1521">
        <v>0</v>
      </c>
      <c r="I913" s="1521">
        <v>0</v>
      </c>
      <c r="J913" s="1538">
        <v>0</v>
      </c>
      <c r="K913" s="1525"/>
      <c r="L913" s="1519">
        <v>13077170700</v>
      </c>
      <c r="M913" s="1520">
        <v>0</v>
      </c>
      <c r="N913" s="1520">
        <v>0</v>
      </c>
      <c r="O913" s="1520">
        <v>0</v>
      </c>
    </row>
    <row r="914" spans="3:15" ht="13.5">
      <c r="C914" s="1526" t="s">
        <v>4872</v>
      </c>
      <c r="D914" s="1523">
        <v>0</v>
      </c>
      <c r="E914" s="1523">
        <v>1</v>
      </c>
      <c r="F914" s="1524">
        <v>1</v>
      </c>
      <c r="G914" s="1537" t="s">
        <v>4872</v>
      </c>
      <c r="H914" s="1521">
        <v>0</v>
      </c>
      <c r="I914" s="1521">
        <v>0</v>
      </c>
      <c r="J914" s="1538">
        <v>0</v>
      </c>
      <c r="K914" s="1525"/>
      <c r="L914" s="1519">
        <v>13077170801</v>
      </c>
      <c r="M914" s="1520">
        <v>0</v>
      </c>
      <c r="N914" s="1520">
        <v>1</v>
      </c>
      <c r="O914" s="1520">
        <v>1</v>
      </c>
    </row>
    <row r="915" spans="3:15" ht="13.5">
      <c r="C915" s="1526" t="s">
        <v>4873</v>
      </c>
      <c r="D915" s="1523">
        <v>1</v>
      </c>
      <c r="E915" s="1523">
        <v>1</v>
      </c>
      <c r="F915" s="1524">
        <v>2</v>
      </c>
      <c r="G915" s="1537" t="s">
        <v>4873</v>
      </c>
      <c r="H915" s="1521">
        <v>1</v>
      </c>
      <c r="I915" s="1521">
        <v>1</v>
      </c>
      <c r="J915" s="1538">
        <v>2</v>
      </c>
      <c r="K915" s="1525"/>
      <c r="L915" s="1519">
        <v>13077170802</v>
      </c>
      <c r="M915" s="1520">
        <v>1</v>
      </c>
      <c r="N915" s="1520">
        <v>1</v>
      </c>
      <c r="O915" s="1520">
        <v>2</v>
      </c>
    </row>
    <row r="916" spans="3:15" ht="13.5">
      <c r="C916" s="1526" t="s">
        <v>4874</v>
      </c>
      <c r="D916" s="1523">
        <v>0</v>
      </c>
      <c r="E916" s="1523">
        <v>0</v>
      </c>
      <c r="F916" s="1524">
        <v>0</v>
      </c>
      <c r="G916" s="1537" t="s">
        <v>4874</v>
      </c>
      <c r="H916" s="1521">
        <v>0</v>
      </c>
      <c r="I916" s="1521">
        <v>0</v>
      </c>
      <c r="J916" s="1538">
        <v>0</v>
      </c>
      <c r="K916" s="1525"/>
      <c r="L916" s="1519">
        <v>13079070100</v>
      </c>
      <c r="M916" s="1520">
        <v>0</v>
      </c>
      <c r="N916" s="1520">
        <v>0</v>
      </c>
      <c r="O916" s="1520">
        <v>0</v>
      </c>
    </row>
    <row r="917" spans="3:15" ht="13.5">
      <c r="C917" s="1526" t="s">
        <v>4875</v>
      </c>
      <c r="D917" s="1523">
        <v>0</v>
      </c>
      <c r="E917" s="1523">
        <v>1</v>
      </c>
      <c r="F917" s="1524">
        <v>1</v>
      </c>
      <c r="G917" s="1537" t="s">
        <v>4875</v>
      </c>
      <c r="H917" s="1521">
        <v>0</v>
      </c>
      <c r="I917" s="1521">
        <v>1</v>
      </c>
      <c r="J917" s="1538">
        <v>1</v>
      </c>
      <c r="K917" s="1525"/>
      <c r="L917" s="1519">
        <v>13079070201</v>
      </c>
      <c r="M917" s="1520">
        <v>0</v>
      </c>
      <c r="N917" s="1520">
        <v>1</v>
      </c>
      <c r="O917" s="1520">
        <v>1</v>
      </c>
    </row>
    <row r="918" spans="3:15" ht="13.5">
      <c r="C918" s="1526" t="s">
        <v>4876</v>
      </c>
      <c r="D918" s="1523">
        <v>0</v>
      </c>
      <c r="E918" s="1523">
        <v>1</v>
      </c>
      <c r="F918" s="1524">
        <v>1</v>
      </c>
      <c r="G918" s="1537" t="s">
        <v>4876</v>
      </c>
      <c r="H918" s="1521">
        <v>0</v>
      </c>
      <c r="I918" s="1521">
        <v>0</v>
      </c>
      <c r="J918" s="1538">
        <v>0</v>
      </c>
      <c r="K918" s="1525"/>
      <c r="L918" s="1519">
        <v>13079070202</v>
      </c>
      <c r="M918" s="1520">
        <v>0</v>
      </c>
      <c r="N918" s="1520">
        <v>1</v>
      </c>
      <c r="O918" s="1520">
        <v>1</v>
      </c>
    </row>
    <row r="919" spans="3:15" ht="13.5">
      <c r="C919" s="1526" t="s">
        <v>4877</v>
      </c>
      <c r="D919" s="1523">
        <v>0</v>
      </c>
      <c r="E919" s="1523">
        <v>0</v>
      </c>
      <c r="F919" s="1524">
        <v>0</v>
      </c>
      <c r="G919" s="1537" t="s">
        <v>4877</v>
      </c>
      <c r="H919" s="1521">
        <v>0</v>
      </c>
      <c r="I919" s="1521">
        <v>0</v>
      </c>
      <c r="J919" s="1538">
        <v>0</v>
      </c>
      <c r="K919" s="1525"/>
      <c r="L919" s="1519">
        <v>13081010100</v>
      </c>
      <c r="M919" s="1520">
        <v>0</v>
      </c>
      <c r="N919" s="1520">
        <v>0</v>
      </c>
      <c r="O919" s="1520">
        <v>0</v>
      </c>
    </row>
    <row r="920" spans="3:15" ht="13.5">
      <c r="C920" s="1526" t="s">
        <v>4878</v>
      </c>
      <c r="D920" s="1523">
        <v>0</v>
      </c>
      <c r="E920" s="1523">
        <v>0</v>
      </c>
      <c r="F920" s="1524">
        <v>0</v>
      </c>
      <c r="G920" s="1537" t="s">
        <v>4878</v>
      </c>
      <c r="H920" s="1521">
        <v>0</v>
      </c>
      <c r="I920" s="1521">
        <v>0</v>
      </c>
      <c r="J920" s="1538">
        <v>0</v>
      </c>
      <c r="K920" s="1525"/>
      <c r="L920" s="1519">
        <v>13081010201</v>
      </c>
      <c r="M920" s="1520">
        <v>0</v>
      </c>
      <c r="N920" s="1520">
        <v>0</v>
      </c>
      <c r="O920" s="1520">
        <v>0</v>
      </c>
    </row>
    <row r="921" spans="3:15" ht="13.5">
      <c r="C921" s="1526" t="s">
        <v>4879</v>
      </c>
      <c r="D921" s="1523">
        <v>0</v>
      </c>
      <c r="E921" s="1523">
        <v>0</v>
      </c>
      <c r="F921" s="1524">
        <v>0</v>
      </c>
      <c r="G921" s="1537" t="s">
        <v>4879</v>
      </c>
      <c r="H921" s="1521">
        <v>0</v>
      </c>
      <c r="I921" s="1521">
        <v>0</v>
      </c>
      <c r="J921" s="1538">
        <v>0</v>
      </c>
      <c r="K921" s="1525"/>
      <c r="L921" s="1519">
        <v>13081010202</v>
      </c>
      <c r="M921" s="1520">
        <v>0</v>
      </c>
      <c r="N921" s="1520">
        <v>0</v>
      </c>
      <c r="O921" s="1520">
        <v>0</v>
      </c>
    </row>
    <row r="922" spans="3:15" ht="13.5">
      <c r="C922" s="1526" t="s">
        <v>4880</v>
      </c>
      <c r="D922" s="1523">
        <v>0</v>
      </c>
      <c r="E922" s="1523">
        <v>0</v>
      </c>
      <c r="F922" s="1524">
        <v>0</v>
      </c>
      <c r="G922" s="1537" t="s">
        <v>4880</v>
      </c>
      <c r="H922" s="1521">
        <v>0</v>
      </c>
      <c r="I922" s="1521">
        <v>0</v>
      </c>
      <c r="J922" s="1538">
        <v>0</v>
      </c>
      <c r="K922" s="1525"/>
      <c r="L922" s="1519">
        <v>13081010300</v>
      </c>
      <c r="M922" s="1520">
        <v>0</v>
      </c>
      <c r="N922" s="1520">
        <v>0</v>
      </c>
      <c r="O922" s="1520">
        <v>0</v>
      </c>
    </row>
    <row r="923" spans="3:15" ht="13.5">
      <c r="C923" s="1526" t="s">
        <v>4881</v>
      </c>
      <c r="D923" s="1523">
        <v>0</v>
      </c>
      <c r="E923" s="1523">
        <v>0</v>
      </c>
      <c r="F923" s="1524">
        <v>0</v>
      </c>
      <c r="G923" s="1537" t="s">
        <v>4881</v>
      </c>
      <c r="H923" s="1521">
        <v>0</v>
      </c>
      <c r="I923" s="1521">
        <v>0</v>
      </c>
      <c r="J923" s="1538">
        <v>0</v>
      </c>
      <c r="K923" s="1525"/>
      <c r="L923" s="1519">
        <v>13081010400</v>
      </c>
      <c r="M923" s="1520">
        <v>0</v>
      </c>
      <c r="N923" s="1520">
        <v>0</v>
      </c>
      <c r="O923" s="1520">
        <v>0</v>
      </c>
    </row>
    <row r="924" spans="3:15" ht="13.5">
      <c r="C924" s="1526" t="s">
        <v>4882</v>
      </c>
      <c r="D924" s="1523">
        <v>0</v>
      </c>
      <c r="E924" s="1523">
        <v>0</v>
      </c>
      <c r="F924" s="1524">
        <v>0</v>
      </c>
      <c r="G924" s="1537" t="s">
        <v>4882</v>
      </c>
      <c r="H924" s="1521">
        <v>0</v>
      </c>
      <c r="I924" s="1521">
        <v>0</v>
      </c>
      <c r="J924" s="1538">
        <v>0</v>
      </c>
      <c r="K924" s="1525"/>
      <c r="L924" s="1519">
        <v>13081010500</v>
      </c>
      <c r="M924" s="1520">
        <v>0</v>
      </c>
      <c r="N924" s="1520">
        <v>0</v>
      </c>
      <c r="O924" s="1520">
        <v>0</v>
      </c>
    </row>
    <row r="925" spans="3:15" ht="13.5">
      <c r="C925" s="1526" t="s">
        <v>4883</v>
      </c>
      <c r="D925" s="1523">
        <v>0</v>
      </c>
      <c r="E925" s="1523">
        <v>0</v>
      </c>
      <c r="F925" s="1524">
        <v>0</v>
      </c>
      <c r="G925" s="1537" t="s">
        <v>4883</v>
      </c>
      <c r="H925" s="1521">
        <v>0</v>
      </c>
      <c r="I925" s="1521">
        <v>0</v>
      </c>
      <c r="J925" s="1538">
        <v>0</v>
      </c>
      <c r="K925" s="1525"/>
      <c r="L925" s="1519">
        <v>13083040101</v>
      </c>
      <c r="M925" s="1520">
        <v>0</v>
      </c>
      <c r="N925" s="1520">
        <v>0</v>
      </c>
      <c r="O925" s="1520">
        <v>0</v>
      </c>
    </row>
    <row r="926" spans="3:15" ht="13.5">
      <c r="C926" s="1526" t="s">
        <v>4884</v>
      </c>
      <c r="D926" s="1523">
        <v>1</v>
      </c>
      <c r="E926" s="1523">
        <v>1</v>
      </c>
      <c r="F926" s="1524">
        <v>2</v>
      </c>
      <c r="G926" s="1537" t="s">
        <v>4884</v>
      </c>
      <c r="H926" s="1521">
        <v>0</v>
      </c>
      <c r="I926" s="1521">
        <v>1</v>
      </c>
      <c r="J926" s="1538">
        <v>1</v>
      </c>
      <c r="K926" s="1525"/>
      <c r="L926" s="1519">
        <v>13083040102</v>
      </c>
      <c r="M926" s="1520">
        <v>1</v>
      </c>
      <c r="N926" s="1520">
        <v>1</v>
      </c>
      <c r="O926" s="1520">
        <v>2</v>
      </c>
    </row>
    <row r="927" spans="3:15" ht="13.5">
      <c r="C927" s="1526" t="s">
        <v>4885</v>
      </c>
      <c r="D927" s="1523">
        <v>0</v>
      </c>
      <c r="E927" s="1523">
        <v>0</v>
      </c>
      <c r="F927" s="1524">
        <v>0</v>
      </c>
      <c r="G927" s="1537" t="s">
        <v>4885</v>
      </c>
      <c r="H927" s="1521">
        <v>0</v>
      </c>
      <c r="I927" s="1521">
        <v>0</v>
      </c>
      <c r="J927" s="1538">
        <v>0</v>
      </c>
      <c r="K927" s="1525"/>
      <c r="L927" s="1519">
        <v>13083040200</v>
      </c>
      <c r="M927" s="1520">
        <v>0</v>
      </c>
      <c r="N927" s="1520">
        <v>0</v>
      </c>
      <c r="O927" s="1520">
        <v>0</v>
      </c>
    </row>
    <row r="928" spans="3:15" ht="13.5">
      <c r="C928" s="1526" t="s">
        <v>4886</v>
      </c>
      <c r="D928" s="1523">
        <v>1</v>
      </c>
      <c r="E928" s="1523">
        <v>1</v>
      </c>
      <c r="F928" s="1524">
        <v>2</v>
      </c>
      <c r="G928" s="1537" t="s">
        <v>4886</v>
      </c>
      <c r="H928" s="1521">
        <v>0</v>
      </c>
      <c r="I928" s="1521">
        <v>1</v>
      </c>
      <c r="J928" s="1538">
        <v>1</v>
      </c>
      <c r="K928" s="1525"/>
      <c r="L928" s="1519">
        <v>13083040300</v>
      </c>
      <c r="M928" s="1520">
        <v>1</v>
      </c>
      <c r="N928" s="1520">
        <v>1</v>
      </c>
      <c r="O928" s="1520">
        <v>2</v>
      </c>
    </row>
    <row r="929" spans="3:15" ht="13.5">
      <c r="C929" s="1526" t="s">
        <v>4887</v>
      </c>
      <c r="D929" s="1523">
        <v>1</v>
      </c>
      <c r="E929" s="1523">
        <v>1</v>
      </c>
      <c r="F929" s="1524">
        <v>2</v>
      </c>
      <c r="G929" s="1537" t="s">
        <v>4887</v>
      </c>
      <c r="H929" s="1521">
        <v>1</v>
      </c>
      <c r="I929" s="1521">
        <v>1</v>
      </c>
      <c r="J929" s="1538">
        <v>2</v>
      </c>
      <c r="K929" s="1525"/>
      <c r="L929" s="1519">
        <v>13085970100</v>
      </c>
      <c r="M929" s="1520">
        <v>1</v>
      </c>
      <c r="N929" s="1520">
        <v>1</v>
      </c>
      <c r="O929" s="1520">
        <v>2</v>
      </c>
    </row>
    <row r="930" spans="3:15" ht="13.5">
      <c r="C930" s="1526" t="s">
        <v>4888</v>
      </c>
      <c r="D930" s="1523">
        <v>1</v>
      </c>
      <c r="E930" s="1523">
        <v>1</v>
      </c>
      <c r="F930" s="1524">
        <v>2</v>
      </c>
      <c r="G930" s="1537" t="s">
        <v>4888</v>
      </c>
      <c r="H930" s="1521">
        <v>1</v>
      </c>
      <c r="I930" s="1521">
        <v>1</v>
      </c>
      <c r="J930" s="1538">
        <v>2</v>
      </c>
      <c r="K930" s="1525"/>
      <c r="L930" s="1519">
        <v>13085970201</v>
      </c>
      <c r="M930" s="1520">
        <v>1</v>
      </c>
      <c r="N930" s="1520">
        <v>1</v>
      </c>
      <c r="O930" s="1520">
        <v>2</v>
      </c>
    </row>
    <row r="931" spans="3:15" ht="13.5">
      <c r="C931" s="1526" t="s">
        <v>4889</v>
      </c>
      <c r="D931" s="1523">
        <v>0</v>
      </c>
      <c r="E931" s="1523">
        <v>1</v>
      </c>
      <c r="F931" s="1524">
        <v>1</v>
      </c>
      <c r="G931" s="1537" t="s">
        <v>4889</v>
      </c>
      <c r="H931" s="1521">
        <v>1</v>
      </c>
      <c r="I931" s="1521">
        <v>0</v>
      </c>
      <c r="J931" s="1538">
        <v>1</v>
      </c>
      <c r="K931" s="1525"/>
      <c r="L931" s="1519">
        <v>13085970202</v>
      </c>
      <c r="M931" s="1520">
        <v>1</v>
      </c>
      <c r="N931" s="1520">
        <v>1</v>
      </c>
      <c r="O931" s="1520">
        <v>1</v>
      </c>
    </row>
    <row r="932" spans="3:15" ht="13.5">
      <c r="C932" s="1526" t="s">
        <v>4890</v>
      </c>
      <c r="D932" s="1523">
        <v>1</v>
      </c>
      <c r="E932" s="1523">
        <v>0</v>
      </c>
      <c r="F932" s="1524">
        <v>1</v>
      </c>
      <c r="G932" s="1537" t="s">
        <v>4890</v>
      </c>
      <c r="H932" s="1521">
        <v>0</v>
      </c>
      <c r="I932" s="1521">
        <v>0</v>
      </c>
      <c r="J932" s="1538">
        <v>0</v>
      </c>
      <c r="K932" s="1525"/>
      <c r="L932" s="1519">
        <v>13087970100</v>
      </c>
      <c r="M932" s="1520">
        <v>1</v>
      </c>
      <c r="N932" s="1520">
        <v>0</v>
      </c>
      <c r="O932" s="1520">
        <v>1</v>
      </c>
    </row>
    <row r="933" spans="3:15" ht="13.5">
      <c r="C933" s="1526" t="s">
        <v>4891</v>
      </c>
      <c r="D933" s="1523">
        <v>0</v>
      </c>
      <c r="E933" s="1523">
        <v>0</v>
      </c>
      <c r="F933" s="1524">
        <v>0</v>
      </c>
      <c r="G933" s="1537" t="s">
        <v>4891</v>
      </c>
      <c r="H933" s="1521">
        <v>0</v>
      </c>
      <c r="I933" s="1521">
        <v>0</v>
      </c>
      <c r="J933" s="1538">
        <v>0</v>
      </c>
      <c r="K933" s="1525"/>
      <c r="L933" s="1519">
        <v>13087970200</v>
      </c>
      <c r="M933" s="1520">
        <v>0</v>
      </c>
      <c r="N933" s="1520">
        <v>0</v>
      </c>
      <c r="O933" s="1520">
        <v>0</v>
      </c>
    </row>
    <row r="934" spans="3:15" ht="13.5">
      <c r="C934" s="1526" t="s">
        <v>4892</v>
      </c>
      <c r="D934" s="1523">
        <v>0</v>
      </c>
      <c r="E934" s="1523">
        <v>0</v>
      </c>
      <c r="F934" s="1524">
        <v>0</v>
      </c>
      <c r="G934" s="1537" t="s">
        <v>4892</v>
      </c>
      <c r="H934" s="1521">
        <v>0</v>
      </c>
      <c r="I934" s="1521">
        <v>0</v>
      </c>
      <c r="J934" s="1538">
        <v>0</v>
      </c>
      <c r="K934" s="1525"/>
      <c r="L934" s="1519">
        <v>13087970300</v>
      </c>
      <c r="M934" s="1520">
        <v>0</v>
      </c>
      <c r="N934" s="1520">
        <v>0</v>
      </c>
      <c r="O934" s="1520">
        <v>0</v>
      </c>
    </row>
    <row r="935" spans="3:15" ht="13.5">
      <c r="C935" s="1526" t="s">
        <v>4893</v>
      </c>
      <c r="D935" s="1523">
        <v>0</v>
      </c>
      <c r="E935" s="1523">
        <v>0</v>
      </c>
      <c r="F935" s="1524">
        <v>0</v>
      </c>
      <c r="G935" s="1537" t="s">
        <v>4893</v>
      </c>
      <c r="H935" s="1521">
        <v>0</v>
      </c>
      <c r="I935" s="1521">
        <v>0</v>
      </c>
      <c r="J935" s="1538">
        <v>0</v>
      </c>
      <c r="K935" s="1525"/>
      <c r="L935" s="1519">
        <v>13087970400</v>
      </c>
      <c r="M935" s="1520">
        <v>0</v>
      </c>
      <c r="N935" s="1520">
        <v>0</v>
      </c>
      <c r="O935" s="1520">
        <v>0</v>
      </c>
    </row>
    <row r="936" spans="3:15" ht="13.5">
      <c r="C936" s="1526" t="s">
        <v>4894</v>
      </c>
      <c r="D936" s="1523">
        <v>1</v>
      </c>
      <c r="E936" s="1523">
        <v>0</v>
      </c>
      <c r="F936" s="1524">
        <v>1</v>
      </c>
      <c r="G936" s="1537" t="s">
        <v>4894</v>
      </c>
      <c r="H936" s="1521">
        <v>0</v>
      </c>
      <c r="I936" s="1521">
        <v>1</v>
      </c>
      <c r="J936" s="1538">
        <v>1</v>
      </c>
      <c r="K936" s="1525"/>
      <c r="L936" s="1519">
        <v>13087970600</v>
      </c>
      <c r="M936" s="1520">
        <v>1</v>
      </c>
      <c r="N936" s="1520">
        <v>1</v>
      </c>
      <c r="O936" s="1520">
        <v>1</v>
      </c>
    </row>
    <row r="937" spans="3:15" ht="13.5">
      <c r="C937" s="1526" t="s">
        <v>4895</v>
      </c>
      <c r="D937" s="1523">
        <v>0</v>
      </c>
      <c r="E937" s="1523">
        <v>0</v>
      </c>
      <c r="F937" s="1524">
        <v>0</v>
      </c>
      <c r="G937" s="1537" t="s">
        <v>4895</v>
      </c>
      <c r="H937" s="1521">
        <v>0</v>
      </c>
      <c r="I937" s="1521">
        <v>0</v>
      </c>
      <c r="J937" s="1538">
        <v>0</v>
      </c>
      <c r="K937" s="1525"/>
      <c r="L937" s="1519">
        <v>13087970700</v>
      </c>
      <c r="M937" s="1520">
        <v>0</v>
      </c>
      <c r="N937" s="1520">
        <v>0</v>
      </c>
      <c r="O937" s="1520">
        <v>0</v>
      </c>
    </row>
    <row r="938" spans="3:15" ht="13.5">
      <c r="C938" s="1526" t="s">
        <v>4896</v>
      </c>
      <c r="D938" s="1523">
        <v>0</v>
      </c>
      <c r="E938" s="1523">
        <v>0</v>
      </c>
      <c r="F938" s="1524">
        <v>0</v>
      </c>
      <c r="G938" s="1537" t="s">
        <v>4896</v>
      </c>
      <c r="H938" s="1521">
        <v>0</v>
      </c>
      <c r="I938" s="1521">
        <v>0</v>
      </c>
      <c r="J938" s="1538">
        <v>0</v>
      </c>
      <c r="K938" s="1525"/>
      <c r="L938" s="1519">
        <v>13087970800</v>
      </c>
      <c r="M938" s="1520">
        <v>0</v>
      </c>
      <c r="N938" s="1520">
        <v>0</v>
      </c>
      <c r="O938" s="1520">
        <v>0</v>
      </c>
    </row>
    <row r="939" spans="3:15" ht="13.5">
      <c r="C939" s="1526" t="s">
        <v>4897</v>
      </c>
      <c r="D939" s="1523">
        <v>1</v>
      </c>
      <c r="E939" s="1523">
        <v>1</v>
      </c>
      <c r="F939" s="1524">
        <v>2</v>
      </c>
      <c r="G939" s="1537" t="s">
        <v>4897</v>
      </c>
      <c r="H939" s="1521">
        <v>1</v>
      </c>
      <c r="I939" s="1521">
        <v>1</v>
      </c>
      <c r="J939" s="1538">
        <v>2</v>
      </c>
      <c r="K939" s="1525"/>
      <c r="L939" s="1519">
        <v>13089020100</v>
      </c>
      <c r="M939" s="1520">
        <v>1</v>
      </c>
      <c r="N939" s="1520">
        <v>1</v>
      </c>
      <c r="O939" s="1520">
        <v>2</v>
      </c>
    </row>
    <row r="940" spans="3:15" ht="13.5">
      <c r="C940" s="1526" t="s">
        <v>4898</v>
      </c>
      <c r="D940" s="1523">
        <v>1</v>
      </c>
      <c r="E940" s="1523">
        <v>1</v>
      </c>
      <c r="F940" s="1524">
        <v>2</v>
      </c>
      <c r="G940" s="1537" t="s">
        <v>4898</v>
      </c>
      <c r="H940" s="1521">
        <v>1</v>
      </c>
      <c r="I940" s="1521">
        <v>1</v>
      </c>
      <c r="J940" s="1538">
        <v>2</v>
      </c>
      <c r="K940" s="1525"/>
      <c r="L940" s="1519">
        <v>13089020200</v>
      </c>
      <c r="M940" s="1520">
        <v>1</v>
      </c>
      <c r="N940" s="1520">
        <v>1</v>
      </c>
      <c r="O940" s="1520">
        <v>2</v>
      </c>
    </row>
    <row r="941" spans="3:15" ht="13.5">
      <c r="C941" s="1526" t="s">
        <v>4899</v>
      </c>
      <c r="D941" s="1523">
        <v>1</v>
      </c>
      <c r="E941" s="1523">
        <v>1</v>
      </c>
      <c r="F941" s="1524">
        <v>2</v>
      </c>
      <c r="G941" s="1537" t="s">
        <v>4899</v>
      </c>
      <c r="H941" s="1521">
        <v>1</v>
      </c>
      <c r="I941" s="1521" t="s">
        <v>4096</v>
      </c>
      <c r="J941" s="1538">
        <v>1</v>
      </c>
      <c r="K941" s="1525"/>
      <c r="L941" s="1519">
        <v>13089020300</v>
      </c>
      <c r="M941" s="1520">
        <v>1</v>
      </c>
      <c r="N941" s="1520">
        <v>1</v>
      </c>
      <c r="O941" s="1520">
        <v>2</v>
      </c>
    </row>
    <row r="942" spans="3:15" ht="13.5">
      <c r="C942" s="1526" t="s">
        <v>4900</v>
      </c>
      <c r="D942" s="1523">
        <v>1</v>
      </c>
      <c r="E942" s="1523">
        <v>1</v>
      </c>
      <c r="F942" s="1524">
        <v>2</v>
      </c>
      <c r="G942" s="1537" t="s">
        <v>4900</v>
      </c>
      <c r="H942" s="1521">
        <v>1</v>
      </c>
      <c r="I942" s="1521" t="s">
        <v>4096</v>
      </c>
      <c r="J942" s="1538">
        <v>1</v>
      </c>
      <c r="K942" s="1525"/>
      <c r="L942" s="1519">
        <v>13089020400</v>
      </c>
      <c r="M942" s="1520">
        <v>1</v>
      </c>
      <c r="N942" s="1520">
        <v>1</v>
      </c>
      <c r="O942" s="1520">
        <v>2</v>
      </c>
    </row>
    <row r="943" spans="3:15" ht="13.5">
      <c r="C943" s="1526" t="s">
        <v>4901</v>
      </c>
      <c r="D943" s="1523">
        <v>0</v>
      </c>
      <c r="E943" s="1523">
        <v>0</v>
      </c>
      <c r="F943" s="1524">
        <v>0</v>
      </c>
      <c r="G943" s="1537" t="s">
        <v>4901</v>
      </c>
      <c r="H943" s="1521">
        <v>0</v>
      </c>
      <c r="I943" s="1521">
        <v>0</v>
      </c>
      <c r="J943" s="1538">
        <v>0</v>
      </c>
      <c r="K943" s="1525"/>
      <c r="L943" s="1519">
        <v>13089020500</v>
      </c>
      <c r="M943" s="1520">
        <v>0</v>
      </c>
      <c r="N943" s="1520">
        <v>0</v>
      </c>
      <c r="O943" s="1520">
        <v>0</v>
      </c>
    </row>
    <row r="944" spans="3:15" ht="13.5">
      <c r="C944" s="1526" t="s">
        <v>4902</v>
      </c>
      <c r="D944" s="1523">
        <v>0</v>
      </c>
      <c r="E944" s="1523">
        <v>0</v>
      </c>
      <c r="F944" s="1524">
        <v>0</v>
      </c>
      <c r="G944" s="1537" t="s">
        <v>4902</v>
      </c>
      <c r="H944" s="1521">
        <v>0</v>
      </c>
      <c r="I944" s="1521">
        <v>0</v>
      </c>
      <c r="J944" s="1538">
        <v>0</v>
      </c>
      <c r="K944" s="1525"/>
      <c r="L944" s="1519">
        <v>13089020600</v>
      </c>
      <c r="M944" s="1520">
        <v>0</v>
      </c>
      <c r="N944" s="1520">
        <v>0</v>
      </c>
      <c r="O944" s="1520">
        <v>0</v>
      </c>
    </row>
    <row r="945" spans="3:15" ht="13.5">
      <c r="C945" s="1526" t="s">
        <v>4903</v>
      </c>
      <c r="D945" s="1523">
        <v>1</v>
      </c>
      <c r="E945" s="1523">
        <v>0</v>
      </c>
      <c r="F945" s="1524">
        <v>1</v>
      </c>
      <c r="G945" s="1537" t="s">
        <v>4903</v>
      </c>
      <c r="H945" s="1521">
        <v>1</v>
      </c>
      <c r="I945" s="1521">
        <v>1</v>
      </c>
      <c r="J945" s="1538">
        <v>2</v>
      </c>
      <c r="K945" s="1525"/>
      <c r="L945" s="1519">
        <v>13089020700</v>
      </c>
      <c r="M945" s="1520">
        <v>1</v>
      </c>
      <c r="N945" s="1520">
        <v>1</v>
      </c>
      <c r="O945" s="1520">
        <v>2</v>
      </c>
    </row>
    <row r="946" spans="3:15" ht="13.5">
      <c r="C946" s="1526" t="s">
        <v>4904</v>
      </c>
      <c r="D946" s="1523">
        <v>1</v>
      </c>
      <c r="E946" s="1523">
        <v>1</v>
      </c>
      <c r="F946" s="1524">
        <v>2</v>
      </c>
      <c r="G946" s="1537" t="s">
        <v>4904</v>
      </c>
      <c r="H946" s="1521">
        <v>1</v>
      </c>
      <c r="I946" s="1521">
        <v>1</v>
      </c>
      <c r="J946" s="1538">
        <v>2</v>
      </c>
      <c r="K946" s="1525"/>
      <c r="L946" s="1519">
        <v>13089020801</v>
      </c>
      <c r="M946" s="1520">
        <v>1</v>
      </c>
      <c r="N946" s="1520">
        <v>1</v>
      </c>
      <c r="O946" s="1520">
        <v>2</v>
      </c>
    </row>
    <row r="947" spans="3:15" ht="13.5">
      <c r="C947" s="1526" t="s">
        <v>4905</v>
      </c>
      <c r="D947" s="1523">
        <v>1</v>
      </c>
      <c r="E947" s="1523">
        <v>0</v>
      </c>
      <c r="F947" s="1524">
        <v>1</v>
      </c>
      <c r="G947" s="1537" t="s">
        <v>4905</v>
      </c>
      <c r="H947" s="1521">
        <v>1</v>
      </c>
      <c r="I947" s="1521">
        <v>0</v>
      </c>
      <c r="J947" s="1538">
        <v>1</v>
      </c>
      <c r="K947" s="1525"/>
      <c r="L947" s="1519">
        <v>13089020802</v>
      </c>
      <c r="M947" s="1520">
        <v>1</v>
      </c>
      <c r="N947" s="1520">
        <v>0</v>
      </c>
      <c r="O947" s="1520">
        <v>1</v>
      </c>
    </row>
    <row r="948" spans="3:15" ht="13.5">
      <c r="C948" s="1526" t="s">
        <v>4906</v>
      </c>
      <c r="D948" s="1523">
        <v>1</v>
      </c>
      <c r="E948" s="1523">
        <v>0</v>
      </c>
      <c r="F948" s="1524">
        <v>1</v>
      </c>
      <c r="G948" s="1537" t="s">
        <v>4906</v>
      </c>
      <c r="H948" s="1521">
        <v>1</v>
      </c>
      <c r="I948" s="1521">
        <v>0</v>
      </c>
      <c r="J948" s="1538">
        <v>1</v>
      </c>
      <c r="K948" s="1525"/>
      <c r="L948" s="1519">
        <v>13089020900</v>
      </c>
      <c r="M948" s="1520">
        <v>1</v>
      </c>
      <c r="N948" s="1520">
        <v>0</v>
      </c>
      <c r="O948" s="1520">
        <v>1</v>
      </c>
    </row>
    <row r="949" spans="3:15" ht="13.5">
      <c r="C949" s="1526" t="s">
        <v>4907</v>
      </c>
      <c r="D949" s="1523">
        <v>1</v>
      </c>
      <c r="E949" s="1523">
        <v>1</v>
      </c>
      <c r="F949" s="1524">
        <v>2</v>
      </c>
      <c r="G949" s="1537" t="s">
        <v>4907</v>
      </c>
      <c r="H949" s="1521">
        <v>1</v>
      </c>
      <c r="I949" s="1521">
        <v>1</v>
      </c>
      <c r="J949" s="1538">
        <v>2</v>
      </c>
      <c r="K949" s="1525"/>
      <c r="L949" s="1519">
        <v>13089021101</v>
      </c>
      <c r="M949" s="1520">
        <v>1</v>
      </c>
      <c r="N949" s="1520">
        <v>1</v>
      </c>
      <c r="O949" s="1520">
        <v>2</v>
      </c>
    </row>
    <row r="950" spans="3:15" ht="13.5">
      <c r="C950" s="1526" t="s">
        <v>4908</v>
      </c>
      <c r="D950" s="1523">
        <v>1</v>
      </c>
      <c r="E950" s="1523">
        <v>1</v>
      </c>
      <c r="F950" s="1524">
        <v>2</v>
      </c>
      <c r="G950" s="1537" t="s">
        <v>4908</v>
      </c>
      <c r="H950" s="1521">
        <v>1</v>
      </c>
      <c r="I950" s="1521">
        <v>1</v>
      </c>
      <c r="J950" s="1538">
        <v>2</v>
      </c>
      <c r="K950" s="1525"/>
      <c r="L950" s="1519">
        <v>13089021102</v>
      </c>
      <c r="M950" s="1520">
        <v>1</v>
      </c>
      <c r="N950" s="1520">
        <v>1</v>
      </c>
      <c r="O950" s="1520">
        <v>2</v>
      </c>
    </row>
    <row r="951" spans="3:15" ht="13.5">
      <c r="C951" s="1526" t="s">
        <v>4909</v>
      </c>
      <c r="D951" s="1523">
        <v>1</v>
      </c>
      <c r="E951" s="1523">
        <v>1</v>
      </c>
      <c r="F951" s="1524">
        <v>2</v>
      </c>
      <c r="G951" s="1537" t="s">
        <v>4909</v>
      </c>
      <c r="H951" s="1521">
        <v>1</v>
      </c>
      <c r="I951" s="1521">
        <v>1</v>
      </c>
      <c r="J951" s="1538">
        <v>2</v>
      </c>
      <c r="K951" s="1525"/>
      <c r="L951" s="1519">
        <v>13089021202</v>
      </c>
      <c r="M951" s="1520">
        <v>1</v>
      </c>
      <c r="N951" s="1520">
        <v>1</v>
      </c>
      <c r="O951" s="1520">
        <v>2</v>
      </c>
    </row>
    <row r="952" spans="3:15" ht="13.5">
      <c r="C952" s="1526" t="s">
        <v>4910</v>
      </c>
      <c r="D952" s="1523">
        <v>0</v>
      </c>
      <c r="E952" s="1523">
        <v>0</v>
      </c>
      <c r="F952" s="1524">
        <v>0</v>
      </c>
      <c r="G952" s="1537" t="s">
        <v>4910</v>
      </c>
      <c r="H952" s="1521">
        <v>0</v>
      </c>
      <c r="I952" s="1521" t="s">
        <v>4096</v>
      </c>
      <c r="J952" s="1538">
        <v>0</v>
      </c>
      <c r="K952" s="1525"/>
      <c r="L952" s="1519">
        <v>13089021204</v>
      </c>
      <c r="M952" s="1520">
        <v>0</v>
      </c>
      <c r="N952" s="1520">
        <v>0</v>
      </c>
      <c r="O952" s="1520">
        <v>0</v>
      </c>
    </row>
    <row r="953" spans="3:15" ht="13.5">
      <c r="C953" s="1526" t="s">
        <v>4911</v>
      </c>
      <c r="D953" s="1523">
        <v>1</v>
      </c>
      <c r="E953" s="1523">
        <v>1</v>
      </c>
      <c r="F953" s="1524">
        <v>2</v>
      </c>
      <c r="G953" s="1537" t="s">
        <v>4911</v>
      </c>
      <c r="H953" s="1521">
        <v>1</v>
      </c>
      <c r="I953" s="1521">
        <v>1</v>
      </c>
      <c r="J953" s="1538">
        <v>2</v>
      </c>
      <c r="K953" s="1525"/>
      <c r="L953" s="1519">
        <v>13089021208</v>
      </c>
      <c r="M953" s="1520">
        <v>1</v>
      </c>
      <c r="N953" s="1520">
        <v>1</v>
      </c>
      <c r="O953" s="1520">
        <v>2</v>
      </c>
    </row>
    <row r="954" spans="3:15" ht="13.5">
      <c r="C954" s="1526" t="s">
        <v>4912</v>
      </c>
      <c r="D954" s="1523">
        <v>1</v>
      </c>
      <c r="E954" s="1523">
        <v>1</v>
      </c>
      <c r="F954" s="1524">
        <v>2</v>
      </c>
      <c r="G954" s="1537" t="s">
        <v>4912</v>
      </c>
      <c r="H954" s="1521">
        <v>1</v>
      </c>
      <c r="I954" s="1521">
        <v>1</v>
      </c>
      <c r="J954" s="1538">
        <v>2</v>
      </c>
      <c r="K954" s="1525"/>
      <c r="L954" s="1519">
        <v>13089021209</v>
      </c>
      <c r="M954" s="1520">
        <v>1</v>
      </c>
      <c r="N954" s="1520">
        <v>1</v>
      </c>
      <c r="O954" s="1520">
        <v>2</v>
      </c>
    </row>
    <row r="955" spans="3:15" ht="13.5">
      <c r="C955" s="1526" t="s">
        <v>4913</v>
      </c>
      <c r="D955" s="1523">
        <v>1</v>
      </c>
      <c r="E955" s="1523">
        <v>1</v>
      </c>
      <c r="F955" s="1524">
        <v>2</v>
      </c>
      <c r="G955" s="1537" t="s">
        <v>4913</v>
      </c>
      <c r="H955" s="1521">
        <v>1</v>
      </c>
      <c r="I955" s="1521">
        <v>1</v>
      </c>
      <c r="J955" s="1538">
        <v>2</v>
      </c>
      <c r="K955" s="1525"/>
      <c r="L955" s="1519">
        <v>13089021210</v>
      </c>
      <c r="M955" s="1520">
        <v>1</v>
      </c>
      <c r="N955" s="1520">
        <v>1</v>
      </c>
      <c r="O955" s="1520">
        <v>2</v>
      </c>
    </row>
    <row r="956" spans="3:15" ht="13.5">
      <c r="C956" s="1526" t="s">
        <v>4914</v>
      </c>
      <c r="D956" s="1523">
        <v>1</v>
      </c>
      <c r="E956" s="1523">
        <v>1</v>
      </c>
      <c r="F956" s="1524">
        <v>2</v>
      </c>
      <c r="G956" s="1537" t="s">
        <v>4914</v>
      </c>
      <c r="H956" s="1521">
        <v>1</v>
      </c>
      <c r="I956" s="1521">
        <v>1</v>
      </c>
      <c r="J956" s="1538">
        <v>2</v>
      </c>
      <c r="K956" s="1525"/>
      <c r="L956" s="1519">
        <v>13089021211</v>
      </c>
      <c r="M956" s="1520">
        <v>1</v>
      </c>
      <c r="N956" s="1520">
        <v>1</v>
      </c>
      <c r="O956" s="1520">
        <v>2</v>
      </c>
    </row>
    <row r="957" spans="3:15" ht="13.5">
      <c r="C957" s="1526" t="s">
        <v>4915</v>
      </c>
      <c r="D957" s="1523">
        <v>1</v>
      </c>
      <c r="E957" s="1523">
        <v>1</v>
      </c>
      <c r="F957" s="1524">
        <v>2</v>
      </c>
      <c r="G957" s="1537" t="s">
        <v>4915</v>
      </c>
      <c r="H957" s="1521">
        <v>1</v>
      </c>
      <c r="I957" s="1521">
        <v>1</v>
      </c>
      <c r="J957" s="1538">
        <v>2</v>
      </c>
      <c r="K957" s="1525"/>
      <c r="L957" s="1519">
        <v>13089021213</v>
      </c>
      <c r="M957" s="1520">
        <v>1</v>
      </c>
      <c r="N957" s="1520">
        <v>1</v>
      </c>
      <c r="O957" s="1520">
        <v>2</v>
      </c>
    </row>
    <row r="958" spans="3:15" ht="13.5">
      <c r="C958" s="1526" t="s">
        <v>4916</v>
      </c>
      <c r="D958" s="1523">
        <v>1</v>
      </c>
      <c r="E958" s="1523">
        <v>1</v>
      </c>
      <c r="F958" s="1524">
        <v>2</v>
      </c>
      <c r="G958" s="1537" t="s">
        <v>4916</v>
      </c>
      <c r="H958" s="1521">
        <v>1</v>
      </c>
      <c r="I958" s="1521" t="s">
        <v>4096</v>
      </c>
      <c r="J958" s="1538">
        <v>1</v>
      </c>
      <c r="K958" s="1525"/>
      <c r="L958" s="1519">
        <v>13089021214</v>
      </c>
      <c r="M958" s="1520">
        <v>1</v>
      </c>
      <c r="N958" s="1520">
        <v>1</v>
      </c>
      <c r="O958" s="1520">
        <v>2</v>
      </c>
    </row>
    <row r="959" spans="3:15" ht="13.5">
      <c r="C959" s="1526" t="s">
        <v>4917</v>
      </c>
      <c r="D959" s="1523">
        <v>1</v>
      </c>
      <c r="E959" s="1523">
        <v>1</v>
      </c>
      <c r="F959" s="1524">
        <v>2</v>
      </c>
      <c r="G959" s="1537" t="s">
        <v>4917</v>
      </c>
      <c r="H959" s="1521">
        <v>1</v>
      </c>
      <c r="I959" s="1521">
        <v>1</v>
      </c>
      <c r="J959" s="1538">
        <v>2</v>
      </c>
      <c r="K959" s="1525"/>
      <c r="L959" s="1519">
        <v>13089021215</v>
      </c>
      <c r="M959" s="1520">
        <v>1</v>
      </c>
      <c r="N959" s="1520">
        <v>1</v>
      </c>
      <c r="O959" s="1520">
        <v>2</v>
      </c>
    </row>
    <row r="960" spans="3:15" ht="13.5">
      <c r="C960" s="1526" t="s">
        <v>4918</v>
      </c>
      <c r="D960" s="1523">
        <v>1</v>
      </c>
      <c r="E960" s="1523">
        <v>1</v>
      </c>
      <c r="F960" s="1524">
        <v>2</v>
      </c>
      <c r="G960" s="1537" t="s">
        <v>4918</v>
      </c>
      <c r="H960" s="1521">
        <v>1</v>
      </c>
      <c r="I960" s="1521">
        <v>1</v>
      </c>
      <c r="J960" s="1538">
        <v>2</v>
      </c>
      <c r="K960" s="1525"/>
      <c r="L960" s="1519">
        <v>13089021216</v>
      </c>
      <c r="M960" s="1520">
        <v>1</v>
      </c>
      <c r="N960" s="1520">
        <v>1</v>
      </c>
      <c r="O960" s="1520">
        <v>2</v>
      </c>
    </row>
    <row r="961" spans="3:15" ht="13.5">
      <c r="C961" s="1526" t="s">
        <v>4919</v>
      </c>
      <c r="D961" s="1523">
        <v>1</v>
      </c>
      <c r="E961" s="1523">
        <v>1</v>
      </c>
      <c r="F961" s="1524">
        <v>2</v>
      </c>
      <c r="G961" s="1537" t="s">
        <v>4919</v>
      </c>
      <c r="H961" s="1521">
        <v>1</v>
      </c>
      <c r="I961" s="1521">
        <v>1</v>
      </c>
      <c r="J961" s="1538">
        <v>2</v>
      </c>
      <c r="K961" s="1525"/>
      <c r="L961" s="1519">
        <v>13089021217</v>
      </c>
      <c r="M961" s="1520">
        <v>1</v>
      </c>
      <c r="N961" s="1520">
        <v>1</v>
      </c>
      <c r="O961" s="1520">
        <v>2</v>
      </c>
    </row>
    <row r="962" spans="3:15" ht="13.5">
      <c r="C962" s="1526" t="s">
        <v>4920</v>
      </c>
      <c r="D962" s="1523">
        <v>1</v>
      </c>
      <c r="E962" s="1523">
        <v>1</v>
      </c>
      <c r="F962" s="1524">
        <v>2</v>
      </c>
      <c r="G962" s="1537" t="s">
        <v>4920</v>
      </c>
      <c r="H962" s="1521">
        <v>1</v>
      </c>
      <c r="I962" s="1521">
        <v>1</v>
      </c>
      <c r="J962" s="1538">
        <v>2</v>
      </c>
      <c r="K962" s="1525"/>
      <c r="L962" s="1519">
        <v>13089021218</v>
      </c>
      <c r="M962" s="1520">
        <v>1</v>
      </c>
      <c r="N962" s="1520">
        <v>1</v>
      </c>
      <c r="O962" s="1520">
        <v>2</v>
      </c>
    </row>
    <row r="963" spans="3:15" ht="13.5">
      <c r="C963" s="1526" t="s">
        <v>4921</v>
      </c>
      <c r="D963" s="1523">
        <v>0</v>
      </c>
      <c r="E963" s="1523">
        <v>0</v>
      </c>
      <c r="F963" s="1524">
        <v>0</v>
      </c>
      <c r="G963" s="1537" t="s">
        <v>4921</v>
      </c>
      <c r="H963" s="1521">
        <v>1</v>
      </c>
      <c r="I963" s="1521">
        <v>0</v>
      </c>
      <c r="J963" s="1538">
        <v>1</v>
      </c>
      <c r="K963" s="1525"/>
      <c r="L963" s="1519">
        <v>13089021301</v>
      </c>
      <c r="M963" s="1520">
        <v>1</v>
      </c>
      <c r="N963" s="1520">
        <v>0</v>
      </c>
      <c r="O963" s="1520">
        <v>1</v>
      </c>
    </row>
    <row r="964" spans="3:15" ht="13.5">
      <c r="C964" s="1526" t="s">
        <v>4922</v>
      </c>
      <c r="D964" s="1523">
        <v>0</v>
      </c>
      <c r="E964" s="1523">
        <v>0</v>
      </c>
      <c r="F964" s="1524">
        <v>0</v>
      </c>
      <c r="G964" s="1537" t="s">
        <v>4922</v>
      </c>
      <c r="H964" s="1521">
        <v>0</v>
      </c>
      <c r="I964" s="1521">
        <v>0</v>
      </c>
      <c r="J964" s="1538">
        <v>0</v>
      </c>
      <c r="K964" s="1525"/>
      <c r="L964" s="1519">
        <v>13089021303</v>
      </c>
      <c r="M964" s="1520">
        <v>0</v>
      </c>
      <c r="N964" s="1520">
        <v>0</v>
      </c>
      <c r="O964" s="1520">
        <v>0</v>
      </c>
    </row>
    <row r="965" spans="3:15" ht="13.5">
      <c r="C965" s="1526" t="s">
        <v>4923</v>
      </c>
      <c r="D965" s="1523">
        <v>0</v>
      </c>
      <c r="E965" s="1523">
        <v>0</v>
      </c>
      <c r="F965" s="1524">
        <v>0</v>
      </c>
      <c r="G965" s="1537" t="s">
        <v>4923</v>
      </c>
      <c r="H965" s="1521">
        <v>1</v>
      </c>
      <c r="I965" s="1521">
        <v>0</v>
      </c>
      <c r="J965" s="1538">
        <v>1</v>
      </c>
      <c r="K965" s="1525"/>
      <c r="L965" s="1519">
        <v>13089021305</v>
      </c>
      <c r="M965" s="1520">
        <v>1</v>
      </c>
      <c r="N965" s="1520">
        <v>0</v>
      </c>
      <c r="O965" s="1520">
        <v>1</v>
      </c>
    </row>
    <row r="966" spans="3:15" ht="13.5">
      <c r="C966" s="1526" t="s">
        <v>4924</v>
      </c>
      <c r="D966" s="1523">
        <v>1</v>
      </c>
      <c r="E966" s="1523">
        <v>0</v>
      </c>
      <c r="F966" s="1524">
        <v>1</v>
      </c>
      <c r="G966" s="1537" t="s">
        <v>4924</v>
      </c>
      <c r="H966" s="1521">
        <v>1</v>
      </c>
      <c r="I966" s="1521">
        <v>0</v>
      </c>
      <c r="J966" s="1538">
        <v>1</v>
      </c>
      <c r="K966" s="1525"/>
      <c r="L966" s="1519">
        <v>13089021306</v>
      </c>
      <c r="M966" s="1520">
        <v>1</v>
      </c>
      <c r="N966" s="1520">
        <v>0</v>
      </c>
      <c r="O966" s="1520">
        <v>1</v>
      </c>
    </row>
    <row r="967" spans="3:15" ht="13.5">
      <c r="C967" s="1526" t="s">
        <v>4925</v>
      </c>
      <c r="D967" s="1523">
        <v>0</v>
      </c>
      <c r="E967" s="1523">
        <v>0</v>
      </c>
      <c r="F967" s="1524">
        <v>0</v>
      </c>
      <c r="G967" s="1537" t="s">
        <v>4925</v>
      </c>
      <c r="H967" s="1521">
        <v>1</v>
      </c>
      <c r="I967" s="1521">
        <v>0</v>
      </c>
      <c r="J967" s="1538">
        <v>1</v>
      </c>
      <c r="K967" s="1525"/>
      <c r="L967" s="1519">
        <v>13089021307</v>
      </c>
      <c r="M967" s="1520">
        <v>1</v>
      </c>
      <c r="N967" s="1520">
        <v>0</v>
      </c>
      <c r="O967" s="1520">
        <v>1</v>
      </c>
    </row>
    <row r="968" spans="3:15" ht="13.5">
      <c r="C968" s="1526" t="s">
        <v>4926</v>
      </c>
      <c r="D968" s="1523">
        <v>1</v>
      </c>
      <c r="E968" s="1523">
        <v>0</v>
      </c>
      <c r="F968" s="1524">
        <v>1</v>
      </c>
      <c r="G968" s="1537" t="s">
        <v>4926</v>
      </c>
      <c r="H968" s="1521">
        <v>1</v>
      </c>
      <c r="I968" s="1521">
        <v>0</v>
      </c>
      <c r="J968" s="1538">
        <v>1</v>
      </c>
      <c r="K968" s="1525"/>
      <c r="L968" s="1519">
        <v>13089021308</v>
      </c>
      <c r="M968" s="1520">
        <v>1</v>
      </c>
      <c r="N968" s="1520">
        <v>0</v>
      </c>
      <c r="O968" s="1520">
        <v>1</v>
      </c>
    </row>
    <row r="969" spans="3:15" ht="13.5">
      <c r="C969" s="1526" t="s">
        <v>4927</v>
      </c>
      <c r="D969" s="1523">
        <v>1</v>
      </c>
      <c r="E969" s="1523">
        <v>1</v>
      </c>
      <c r="F969" s="1524">
        <v>2</v>
      </c>
      <c r="G969" s="1537" t="s">
        <v>4927</v>
      </c>
      <c r="H969" s="1521">
        <v>1</v>
      </c>
      <c r="I969" s="1521">
        <v>1</v>
      </c>
      <c r="J969" s="1538">
        <v>2</v>
      </c>
      <c r="K969" s="1525"/>
      <c r="L969" s="1519">
        <v>13089021405</v>
      </c>
      <c r="M969" s="1520">
        <v>1</v>
      </c>
      <c r="N969" s="1520">
        <v>1</v>
      </c>
      <c r="O969" s="1520">
        <v>2</v>
      </c>
    </row>
    <row r="970" spans="3:15" ht="13.5">
      <c r="C970" s="1526" t="s">
        <v>4928</v>
      </c>
      <c r="D970" s="1523">
        <v>0</v>
      </c>
      <c r="E970" s="1523">
        <v>0</v>
      </c>
      <c r="F970" s="1524">
        <v>0</v>
      </c>
      <c r="G970" s="1537" t="s">
        <v>4928</v>
      </c>
      <c r="H970" s="1521">
        <v>1</v>
      </c>
      <c r="I970" s="1521" t="s">
        <v>4096</v>
      </c>
      <c r="J970" s="1538">
        <v>1</v>
      </c>
      <c r="K970" s="1525"/>
      <c r="L970" s="1519">
        <v>13089021409</v>
      </c>
      <c r="M970" s="1520">
        <v>1</v>
      </c>
      <c r="N970" s="1520">
        <v>0</v>
      </c>
      <c r="O970" s="1520">
        <v>1</v>
      </c>
    </row>
    <row r="971" spans="3:15" ht="13.5">
      <c r="C971" s="1526" t="s">
        <v>4929</v>
      </c>
      <c r="D971" s="1523">
        <v>1</v>
      </c>
      <c r="E971" s="1523">
        <v>0</v>
      </c>
      <c r="F971" s="1524">
        <v>1</v>
      </c>
      <c r="G971" s="1537" t="s">
        <v>4929</v>
      </c>
      <c r="H971" s="1521">
        <v>1</v>
      </c>
      <c r="I971" s="1521" t="s">
        <v>4096</v>
      </c>
      <c r="J971" s="1538">
        <v>1</v>
      </c>
      <c r="K971" s="1525"/>
      <c r="L971" s="1519">
        <v>13089021410</v>
      </c>
      <c r="M971" s="1520">
        <v>1</v>
      </c>
      <c r="N971" s="1520">
        <v>0</v>
      </c>
      <c r="O971" s="1520">
        <v>1</v>
      </c>
    </row>
    <row r="972" spans="3:15" ht="13.5">
      <c r="C972" s="1526" t="s">
        <v>4930</v>
      </c>
      <c r="D972" s="1523">
        <v>1</v>
      </c>
      <c r="E972" s="1523">
        <v>1</v>
      </c>
      <c r="F972" s="1524">
        <v>2</v>
      </c>
      <c r="G972" s="1537" t="s">
        <v>4930</v>
      </c>
      <c r="H972" s="1521">
        <v>1</v>
      </c>
      <c r="I972" s="1521">
        <v>1</v>
      </c>
      <c r="J972" s="1538">
        <v>2</v>
      </c>
      <c r="K972" s="1525"/>
      <c r="L972" s="1519">
        <v>13089021411</v>
      </c>
      <c r="M972" s="1520">
        <v>1</v>
      </c>
      <c r="N972" s="1520">
        <v>1</v>
      </c>
      <c r="O972" s="1520">
        <v>2</v>
      </c>
    </row>
    <row r="973" spans="3:15" ht="13.5">
      <c r="C973" s="1526" t="s">
        <v>4931</v>
      </c>
      <c r="D973" s="1523">
        <v>1</v>
      </c>
      <c r="E973" s="1523">
        <v>1</v>
      </c>
      <c r="F973" s="1524">
        <v>2</v>
      </c>
      <c r="G973" s="1537" t="s">
        <v>4931</v>
      </c>
      <c r="H973" s="1521">
        <v>1</v>
      </c>
      <c r="I973" s="1521">
        <v>1</v>
      </c>
      <c r="J973" s="1538">
        <v>2</v>
      </c>
      <c r="K973" s="1525"/>
      <c r="L973" s="1519">
        <v>13089021412</v>
      </c>
      <c r="M973" s="1520">
        <v>1</v>
      </c>
      <c r="N973" s="1520">
        <v>1</v>
      </c>
      <c r="O973" s="1520">
        <v>2</v>
      </c>
    </row>
    <row r="974" spans="3:15" ht="13.5">
      <c r="C974" s="1526" t="s">
        <v>4932</v>
      </c>
      <c r="D974" s="1523">
        <v>0</v>
      </c>
      <c r="E974" s="1523">
        <v>0</v>
      </c>
      <c r="F974" s="1524">
        <v>0</v>
      </c>
      <c r="G974" s="1537" t="s">
        <v>4932</v>
      </c>
      <c r="H974" s="1521">
        <v>1</v>
      </c>
      <c r="I974" s="1521">
        <v>0</v>
      </c>
      <c r="J974" s="1538">
        <v>1</v>
      </c>
      <c r="K974" s="1525"/>
      <c r="L974" s="1519">
        <v>13089021413</v>
      </c>
      <c r="M974" s="1520">
        <v>1</v>
      </c>
      <c r="N974" s="1520">
        <v>0</v>
      </c>
      <c r="O974" s="1520">
        <v>1</v>
      </c>
    </row>
    <row r="975" spans="3:15" ht="13.5">
      <c r="C975" s="1526" t="s">
        <v>4933</v>
      </c>
      <c r="D975" s="1523">
        <v>1</v>
      </c>
      <c r="E975" s="1523">
        <v>0</v>
      </c>
      <c r="F975" s="1524">
        <v>1</v>
      </c>
      <c r="G975" s="1537" t="s">
        <v>4933</v>
      </c>
      <c r="H975" s="1521">
        <v>0</v>
      </c>
      <c r="I975" s="1521">
        <v>0</v>
      </c>
      <c r="J975" s="1538">
        <v>0</v>
      </c>
      <c r="K975" s="1525"/>
      <c r="L975" s="1519">
        <v>13089021414</v>
      </c>
      <c r="M975" s="1520">
        <v>1</v>
      </c>
      <c r="N975" s="1520">
        <v>0</v>
      </c>
      <c r="O975" s="1520">
        <v>1</v>
      </c>
    </row>
    <row r="976" spans="3:15" ht="13.5">
      <c r="C976" s="1526" t="s">
        <v>4934</v>
      </c>
      <c r="D976" s="1523">
        <v>1</v>
      </c>
      <c r="E976" s="1523">
        <v>1</v>
      </c>
      <c r="F976" s="1524">
        <v>2</v>
      </c>
      <c r="G976" s="1537" t="s">
        <v>4934</v>
      </c>
      <c r="H976" s="1521">
        <v>1</v>
      </c>
      <c r="I976" s="1521" t="s">
        <v>4096</v>
      </c>
      <c r="J976" s="1538">
        <v>1</v>
      </c>
      <c r="K976" s="1525"/>
      <c r="L976" s="1519">
        <v>13089021415</v>
      </c>
      <c r="M976" s="1520">
        <v>1</v>
      </c>
      <c r="N976" s="1520">
        <v>1</v>
      </c>
      <c r="O976" s="1520">
        <v>2</v>
      </c>
    </row>
    <row r="977" spans="3:15" ht="13.5">
      <c r="C977" s="1526" t="s">
        <v>4935</v>
      </c>
      <c r="D977" s="1523">
        <v>1</v>
      </c>
      <c r="E977" s="1523">
        <v>0</v>
      </c>
      <c r="F977" s="1524">
        <v>1</v>
      </c>
      <c r="G977" s="1537" t="s">
        <v>4935</v>
      </c>
      <c r="H977" s="1521">
        <v>1</v>
      </c>
      <c r="I977" s="1521">
        <v>0</v>
      </c>
      <c r="J977" s="1538">
        <v>1</v>
      </c>
      <c r="K977" s="1525"/>
      <c r="L977" s="1519">
        <v>13089021416</v>
      </c>
      <c r="M977" s="1520">
        <v>1</v>
      </c>
      <c r="N977" s="1520">
        <v>0</v>
      </c>
      <c r="O977" s="1520">
        <v>1</v>
      </c>
    </row>
    <row r="978" spans="3:15" ht="13.5">
      <c r="C978" s="1526" t="s">
        <v>4936</v>
      </c>
      <c r="D978" s="1523">
        <v>0</v>
      </c>
      <c r="E978" s="1523">
        <v>0</v>
      </c>
      <c r="F978" s="1524">
        <v>0</v>
      </c>
      <c r="G978" s="1537" t="s">
        <v>4936</v>
      </c>
      <c r="H978" s="1521">
        <v>1</v>
      </c>
      <c r="I978" s="1521" t="s">
        <v>4096</v>
      </c>
      <c r="J978" s="1538">
        <v>1</v>
      </c>
      <c r="K978" s="1525"/>
      <c r="L978" s="1519">
        <v>13089021417</v>
      </c>
      <c r="M978" s="1520">
        <v>1</v>
      </c>
      <c r="N978" s="1520">
        <v>0</v>
      </c>
      <c r="O978" s="1520">
        <v>1</v>
      </c>
    </row>
    <row r="979" spans="3:15" ht="13.5">
      <c r="C979" s="1526" t="s">
        <v>4937</v>
      </c>
      <c r="D979" s="1523">
        <v>1</v>
      </c>
      <c r="E979" s="1523">
        <v>1</v>
      </c>
      <c r="F979" s="1524">
        <v>2</v>
      </c>
      <c r="G979" s="1537" t="s">
        <v>4937</v>
      </c>
      <c r="H979" s="1521">
        <v>1</v>
      </c>
      <c r="I979" s="1521">
        <v>1</v>
      </c>
      <c r="J979" s="1538">
        <v>2</v>
      </c>
      <c r="K979" s="1525"/>
      <c r="L979" s="1519">
        <v>13089021502</v>
      </c>
      <c r="M979" s="1520">
        <v>1</v>
      </c>
      <c r="N979" s="1520">
        <v>1</v>
      </c>
      <c r="O979" s="1520">
        <v>2</v>
      </c>
    </row>
    <row r="980" spans="3:15" ht="13.5">
      <c r="C980" s="1526" t="s">
        <v>4938</v>
      </c>
      <c r="D980" s="1523">
        <v>1</v>
      </c>
      <c r="E980" s="1523">
        <v>0</v>
      </c>
      <c r="F980" s="1524">
        <v>1</v>
      </c>
      <c r="G980" s="1537" t="s">
        <v>4938</v>
      </c>
      <c r="H980" s="1521">
        <v>1</v>
      </c>
      <c r="I980" s="1521">
        <v>1</v>
      </c>
      <c r="J980" s="1538">
        <v>2</v>
      </c>
      <c r="K980" s="1525"/>
      <c r="L980" s="1519">
        <v>13089021503</v>
      </c>
      <c r="M980" s="1520">
        <v>1</v>
      </c>
      <c r="N980" s="1520">
        <v>1</v>
      </c>
      <c r="O980" s="1520">
        <v>2</v>
      </c>
    </row>
    <row r="981" spans="3:15" ht="13.5">
      <c r="C981" s="1526" t="s">
        <v>4939</v>
      </c>
      <c r="D981" s="1523">
        <v>1</v>
      </c>
      <c r="E981" s="1523">
        <v>1</v>
      </c>
      <c r="F981" s="1524">
        <v>2</v>
      </c>
      <c r="G981" s="1537" t="s">
        <v>4939</v>
      </c>
      <c r="H981" s="1521">
        <v>1</v>
      </c>
      <c r="I981" s="1521" t="s">
        <v>4096</v>
      </c>
      <c r="J981" s="1538">
        <v>1</v>
      </c>
      <c r="K981" s="1525"/>
      <c r="L981" s="1519">
        <v>13089021504</v>
      </c>
      <c r="M981" s="1520">
        <v>1</v>
      </c>
      <c r="N981" s="1520">
        <v>1</v>
      </c>
      <c r="O981" s="1520">
        <v>2</v>
      </c>
    </row>
    <row r="982" spans="3:15" ht="13.5">
      <c r="C982" s="1526" t="s">
        <v>4940</v>
      </c>
      <c r="D982" s="1523">
        <v>1</v>
      </c>
      <c r="E982" s="1523">
        <v>1</v>
      </c>
      <c r="F982" s="1524">
        <v>2</v>
      </c>
      <c r="G982" s="1537" t="s">
        <v>4940</v>
      </c>
      <c r="H982" s="1521">
        <v>1</v>
      </c>
      <c r="I982" s="1521">
        <v>1</v>
      </c>
      <c r="J982" s="1538">
        <v>2</v>
      </c>
      <c r="K982" s="1525"/>
      <c r="L982" s="1519">
        <v>13089021602</v>
      </c>
      <c r="M982" s="1520">
        <v>1</v>
      </c>
      <c r="N982" s="1520">
        <v>1</v>
      </c>
      <c r="O982" s="1520">
        <v>2</v>
      </c>
    </row>
    <row r="983" spans="3:15" ht="13.5">
      <c r="C983" s="1526" t="s">
        <v>4941</v>
      </c>
      <c r="D983" s="1523">
        <v>1</v>
      </c>
      <c r="E983" s="1523">
        <v>1</v>
      </c>
      <c r="F983" s="1524">
        <v>2</v>
      </c>
      <c r="G983" s="1537" t="s">
        <v>4941</v>
      </c>
      <c r="H983" s="1521">
        <v>1</v>
      </c>
      <c r="I983" s="1521">
        <v>1</v>
      </c>
      <c r="J983" s="1538">
        <v>2</v>
      </c>
      <c r="K983" s="1525"/>
      <c r="L983" s="1519">
        <v>13089021603</v>
      </c>
      <c r="M983" s="1520">
        <v>1</v>
      </c>
      <c r="N983" s="1520">
        <v>1</v>
      </c>
      <c r="O983" s="1520">
        <v>2</v>
      </c>
    </row>
    <row r="984" spans="3:15" ht="13.5">
      <c r="C984" s="1526" t="s">
        <v>4942</v>
      </c>
      <c r="D984" s="1523">
        <v>1</v>
      </c>
      <c r="E984" s="1523">
        <v>1</v>
      </c>
      <c r="F984" s="1524">
        <v>2</v>
      </c>
      <c r="G984" s="1537" t="s">
        <v>4942</v>
      </c>
      <c r="H984" s="1521">
        <v>1</v>
      </c>
      <c r="I984" s="1521">
        <v>1</v>
      </c>
      <c r="J984" s="1538">
        <v>2</v>
      </c>
      <c r="K984" s="1525"/>
      <c r="L984" s="1519">
        <v>13089021604</v>
      </c>
      <c r="M984" s="1520">
        <v>1</v>
      </c>
      <c r="N984" s="1520">
        <v>1</v>
      </c>
      <c r="O984" s="1520">
        <v>2</v>
      </c>
    </row>
    <row r="985" spans="3:15" ht="13.5">
      <c r="C985" s="1526" t="s">
        <v>4943</v>
      </c>
      <c r="D985" s="1523">
        <v>1</v>
      </c>
      <c r="E985" s="1523">
        <v>1</v>
      </c>
      <c r="F985" s="1524">
        <v>2</v>
      </c>
      <c r="G985" s="1537" t="s">
        <v>4943</v>
      </c>
      <c r="H985" s="1521">
        <v>1</v>
      </c>
      <c r="I985" s="1521">
        <v>1</v>
      </c>
      <c r="J985" s="1538">
        <v>2</v>
      </c>
      <c r="K985" s="1525"/>
      <c r="L985" s="1519">
        <v>13089021605</v>
      </c>
      <c r="M985" s="1520">
        <v>1</v>
      </c>
      <c r="N985" s="1520">
        <v>1</v>
      </c>
      <c r="O985" s="1520">
        <v>2</v>
      </c>
    </row>
    <row r="986" spans="3:15" ht="13.5">
      <c r="C986" s="1526" t="s">
        <v>4944</v>
      </c>
      <c r="D986" s="1523">
        <v>1</v>
      </c>
      <c r="E986" s="1523">
        <v>1</v>
      </c>
      <c r="F986" s="1524">
        <v>2</v>
      </c>
      <c r="G986" s="1537" t="s">
        <v>4944</v>
      </c>
      <c r="H986" s="1521">
        <v>1</v>
      </c>
      <c r="I986" s="1521">
        <v>1</v>
      </c>
      <c r="J986" s="1538">
        <v>2</v>
      </c>
      <c r="K986" s="1525"/>
      <c r="L986" s="1519">
        <v>13089021703</v>
      </c>
      <c r="M986" s="1520">
        <v>1</v>
      </c>
      <c r="N986" s="1520">
        <v>1</v>
      </c>
      <c r="O986" s="1520">
        <v>2</v>
      </c>
    </row>
    <row r="987" spans="3:15" ht="13.5">
      <c r="C987" s="1526" t="s">
        <v>4945</v>
      </c>
      <c r="D987" s="1523">
        <v>1</v>
      </c>
      <c r="E987" s="1523">
        <v>1</v>
      </c>
      <c r="F987" s="1524">
        <v>2</v>
      </c>
      <c r="G987" s="1537" t="s">
        <v>4945</v>
      </c>
      <c r="H987" s="1521">
        <v>1</v>
      </c>
      <c r="I987" s="1521">
        <v>1</v>
      </c>
      <c r="J987" s="1538">
        <v>2</v>
      </c>
      <c r="K987" s="1525"/>
      <c r="L987" s="1519">
        <v>13089021704</v>
      </c>
      <c r="M987" s="1520">
        <v>1</v>
      </c>
      <c r="N987" s="1520">
        <v>1</v>
      </c>
      <c r="O987" s="1520">
        <v>2</v>
      </c>
    </row>
    <row r="988" spans="3:15" ht="13.5">
      <c r="C988" s="1526" t="s">
        <v>4946</v>
      </c>
      <c r="D988" s="1523">
        <v>1</v>
      </c>
      <c r="E988" s="1523">
        <v>0</v>
      </c>
      <c r="F988" s="1524">
        <v>1</v>
      </c>
      <c r="G988" s="1537" t="s">
        <v>4946</v>
      </c>
      <c r="H988" s="1521">
        <v>1</v>
      </c>
      <c r="I988" s="1521">
        <v>1</v>
      </c>
      <c r="J988" s="1538">
        <v>2</v>
      </c>
      <c r="K988" s="1525"/>
      <c r="L988" s="1519">
        <v>13089021705</v>
      </c>
      <c r="M988" s="1520">
        <v>1</v>
      </c>
      <c r="N988" s="1520">
        <v>1</v>
      </c>
      <c r="O988" s="1520">
        <v>2</v>
      </c>
    </row>
    <row r="989" spans="3:15" ht="13.5">
      <c r="C989" s="1526" t="s">
        <v>4947</v>
      </c>
      <c r="D989" s="1523">
        <v>1</v>
      </c>
      <c r="E989" s="1523">
        <v>1</v>
      </c>
      <c r="F989" s="1524">
        <v>2</v>
      </c>
      <c r="G989" s="1537" t="s">
        <v>4947</v>
      </c>
      <c r="H989" s="1521">
        <v>1</v>
      </c>
      <c r="I989" s="1521">
        <v>1</v>
      </c>
      <c r="J989" s="1538">
        <v>2</v>
      </c>
      <c r="K989" s="1525"/>
      <c r="L989" s="1519">
        <v>13089021706</v>
      </c>
      <c r="M989" s="1520">
        <v>1</v>
      </c>
      <c r="N989" s="1520">
        <v>1</v>
      </c>
      <c r="O989" s="1520">
        <v>2</v>
      </c>
    </row>
    <row r="990" spans="3:15" ht="13.5">
      <c r="C990" s="1526" t="s">
        <v>4948</v>
      </c>
      <c r="D990" s="1523">
        <v>1</v>
      </c>
      <c r="E990" s="1523">
        <v>0</v>
      </c>
      <c r="F990" s="1524">
        <v>1</v>
      </c>
      <c r="G990" s="1537" t="s">
        <v>4948</v>
      </c>
      <c r="H990" s="1521">
        <v>1</v>
      </c>
      <c r="I990" s="1521">
        <v>0</v>
      </c>
      <c r="J990" s="1538">
        <v>1</v>
      </c>
      <c r="K990" s="1525"/>
      <c r="L990" s="1519">
        <v>13089021805</v>
      </c>
      <c r="M990" s="1520">
        <v>1</v>
      </c>
      <c r="N990" s="1520">
        <v>0</v>
      </c>
      <c r="O990" s="1520">
        <v>1</v>
      </c>
    </row>
    <row r="991" spans="3:15" ht="13.5">
      <c r="C991" s="1526" t="s">
        <v>4949</v>
      </c>
      <c r="D991" s="1523">
        <v>1</v>
      </c>
      <c r="E991" s="1523">
        <v>0</v>
      </c>
      <c r="F991" s="1524">
        <v>1</v>
      </c>
      <c r="G991" s="1537" t="s">
        <v>4949</v>
      </c>
      <c r="H991" s="1521">
        <v>1</v>
      </c>
      <c r="I991" s="1521">
        <v>0</v>
      </c>
      <c r="J991" s="1538">
        <v>1</v>
      </c>
      <c r="K991" s="1525"/>
      <c r="L991" s="1519">
        <v>13089021806</v>
      </c>
      <c r="M991" s="1520">
        <v>1</v>
      </c>
      <c r="N991" s="1520">
        <v>0</v>
      </c>
      <c r="O991" s="1520">
        <v>1</v>
      </c>
    </row>
    <row r="992" spans="3:15" ht="13.5">
      <c r="C992" s="1526" t="s">
        <v>4950</v>
      </c>
      <c r="D992" s="1523">
        <v>1</v>
      </c>
      <c r="E992" s="1523">
        <v>1</v>
      </c>
      <c r="F992" s="1524">
        <v>2</v>
      </c>
      <c r="G992" s="1537" t="s">
        <v>4950</v>
      </c>
      <c r="H992" s="1521">
        <v>1</v>
      </c>
      <c r="I992" s="1521">
        <v>1</v>
      </c>
      <c r="J992" s="1538">
        <v>2</v>
      </c>
      <c r="K992" s="1525"/>
      <c r="L992" s="1519">
        <v>13089021808</v>
      </c>
      <c r="M992" s="1520">
        <v>1</v>
      </c>
      <c r="N992" s="1520">
        <v>1</v>
      </c>
      <c r="O992" s="1520">
        <v>2</v>
      </c>
    </row>
    <row r="993" spans="3:15" ht="13.5">
      <c r="C993" s="1526" t="s">
        <v>4951</v>
      </c>
      <c r="D993" s="1523">
        <v>1</v>
      </c>
      <c r="E993" s="1523">
        <v>1</v>
      </c>
      <c r="F993" s="1524">
        <v>2</v>
      </c>
      <c r="G993" s="1537" t="s">
        <v>4951</v>
      </c>
      <c r="H993" s="1521">
        <v>1</v>
      </c>
      <c r="I993" s="1521">
        <v>1</v>
      </c>
      <c r="J993" s="1538">
        <v>2</v>
      </c>
      <c r="K993" s="1525"/>
      <c r="L993" s="1519">
        <v>13089021809</v>
      </c>
      <c r="M993" s="1520">
        <v>1</v>
      </c>
      <c r="N993" s="1520">
        <v>1</v>
      </c>
      <c r="O993" s="1520">
        <v>2</v>
      </c>
    </row>
    <row r="994" spans="3:15" ht="13.5">
      <c r="C994" s="1526" t="s">
        <v>4952</v>
      </c>
      <c r="D994" s="1523">
        <v>1</v>
      </c>
      <c r="E994" s="1523">
        <v>1</v>
      </c>
      <c r="F994" s="1524">
        <v>2</v>
      </c>
      <c r="G994" s="1537" t="s">
        <v>4952</v>
      </c>
      <c r="H994" s="1521">
        <v>1</v>
      </c>
      <c r="I994" s="1521">
        <v>1</v>
      </c>
      <c r="J994" s="1538">
        <v>2</v>
      </c>
      <c r="K994" s="1525"/>
      <c r="L994" s="1519">
        <v>13089021810</v>
      </c>
      <c r="M994" s="1520">
        <v>1</v>
      </c>
      <c r="N994" s="1520">
        <v>1</v>
      </c>
      <c r="O994" s="1520">
        <v>2</v>
      </c>
    </row>
    <row r="995" spans="3:15" ht="13.5">
      <c r="C995" s="1526" t="s">
        <v>4953</v>
      </c>
      <c r="D995" s="1523">
        <v>1</v>
      </c>
      <c r="E995" s="1523">
        <v>0</v>
      </c>
      <c r="F995" s="1524">
        <v>1</v>
      </c>
      <c r="G995" s="1537" t="s">
        <v>4953</v>
      </c>
      <c r="H995" s="1521">
        <v>1</v>
      </c>
      <c r="I995" s="1521">
        <v>1</v>
      </c>
      <c r="J995" s="1538">
        <v>2</v>
      </c>
      <c r="K995" s="1525"/>
      <c r="L995" s="1519">
        <v>13089021812</v>
      </c>
      <c r="M995" s="1520">
        <v>1</v>
      </c>
      <c r="N995" s="1520">
        <v>1</v>
      </c>
      <c r="O995" s="1520">
        <v>2</v>
      </c>
    </row>
    <row r="996" spans="3:15" ht="13.5">
      <c r="C996" s="1526" t="s">
        <v>4954</v>
      </c>
      <c r="D996" s="1523">
        <v>0</v>
      </c>
      <c r="E996" s="1523">
        <v>0</v>
      </c>
      <c r="F996" s="1524">
        <v>0</v>
      </c>
      <c r="G996" s="1537" t="s">
        <v>4954</v>
      </c>
      <c r="H996" s="1521">
        <v>0</v>
      </c>
      <c r="I996" s="1521" t="s">
        <v>4096</v>
      </c>
      <c r="J996" s="1538">
        <v>0</v>
      </c>
      <c r="K996" s="1525"/>
      <c r="L996" s="1519">
        <v>13089021813</v>
      </c>
      <c r="M996" s="1520">
        <v>0</v>
      </c>
      <c r="N996" s="1520">
        <v>0</v>
      </c>
      <c r="O996" s="1520">
        <v>0</v>
      </c>
    </row>
    <row r="997" spans="3:15" ht="13.5">
      <c r="C997" s="1526" t="s">
        <v>4955</v>
      </c>
      <c r="D997" s="1523">
        <v>0</v>
      </c>
      <c r="E997" s="1523">
        <v>0</v>
      </c>
      <c r="F997" s="1524">
        <v>0</v>
      </c>
      <c r="G997" s="1537" t="s">
        <v>4955</v>
      </c>
      <c r="H997" s="1521">
        <v>0</v>
      </c>
      <c r="I997" s="1521">
        <v>0</v>
      </c>
      <c r="J997" s="1538">
        <v>0</v>
      </c>
      <c r="K997" s="1525"/>
      <c r="L997" s="1519">
        <v>13089021814</v>
      </c>
      <c r="M997" s="1520">
        <v>0</v>
      </c>
      <c r="N997" s="1520">
        <v>0</v>
      </c>
      <c r="O997" s="1520">
        <v>0</v>
      </c>
    </row>
    <row r="998" spans="3:15" ht="13.5">
      <c r="C998" s="1526" t="s">
        <v>4956</v>
      </c>
      <c r="D998" s="1523">
        <v>0</v>
      </c>
      <c r="E998" s="1523">
        <v>0</v>
      </c>
      <c r="F998" s="1524">
        <v>0</v>
      </c>
      <c r="G998" s="1537" t="s">
        <v>4956</v>
      </c>
      <c r="H998" s="1521">
        <v>0</v>
      </c>
      <c r="I998" s="1521">
        <v>0</v>
      </c>
      <c r="J998" s="1538">
        <v>0</v>
      </c>
      <c r="K998" s="1525"/>
      <c r="L998" s="1519">
        <v>13089021906</v>
      </c>
      <c r="M998" s="1520">
        <v>0</v>
      </c>
      <c r="N998" s="1520">
        <v>0</v>
      </c>
      <c r="O998" s="1520">
        <v>0</v>
      </c>
    </row>
    <row r="999" spans="3:15" ht="13.5">
      <c r="C999" s="1526" t="s">
        <v>4957</v>
      </c>
      <c r="D999" s="1523">
        <v>0</v>
      </c>
      <c r="E999" s="1523">
        <v>0</v>
      </c>
      <c r="F999" s="1524">
        <v>0</v>
      </c>
      <c r="G999" s="1537" t="s">
        <v>4957</v>
      </c>
      <c r="H999" s="1521">
        <v>0</v>
      </c>
      <c r="I999" s="1521">
        <v>1</v>
      </c>
      <c r="J999" s="1538">
        <v>1</v>
      </c>
      <c r="K999" s="1525"/>
      <c r="L999" s="1519">
        <v>13089021907</v>
      </c>
      <c r="M999" s="1520">
        <v>0</v>
      </c>
      <c r="N999" s="1520">
        <v>1</v>
      </c>
      <c r="O999" s="1520">
        <v>1</v>
      </c>
    </row>
    <row r="1000" spans="3:15" ht="13.5">
      <c r="C1000" s="1526" t="s">
        <v>4958</v>
      </c>
      <c r="D1000" s="1523">
        <v>0</v>
      </c>
      <c r="E1000" s="1523">
        <v>0</v>
      </c>
      <c r="F1000" s="1524">
        <v>0</v>
      </c>
      <c r="G1000" s="1537" t="s">
        <v>4958</v>
      </c>
      <c r="H1000" s="1521">
        <v>0</v>
      </c>
      <c r="I1000" s="1521">
        <v>0</v>
      </c>
      <c r="J1000" s="1538">
        <v>0</v>
      </c>
      <c r="K1000" s="1525"/>
      <c r="L1000" s="1519">
        <v>13089021908</v>
      </c>
      <c r="M1000" s="1520">
        <v>0</v>
      </c>
      <c r="N1000" s="1520">
        <v>0</v>
      </c>
      <c r="O1000" s="1520">
        <v>0</v>
      </c>
    </row>
    <row r="1001" spans="3:15" ht="13.5">
      <c r="C1001" s="1526" t="s">
        <v>4959</v>
      </c>
      <c r="D1001" s="1523">
        <v>0</v>
      </c>
      <c r="E1001" s="1523">
        <v>0</v>
      </c>
      <c r="F1001" s="1524">
        <v>0</v>
      </c>
      <c r="G1001" s="1537" t="s">
        <v>4959</v>
      </c>
      <c r="H1001" s="1521">
        <v>0</v>
      </c>
      <c r="I1001" s="1521">
        <v>0</v>
      </c>
      <c r="J1001" s="1538">
        <v>0</v>
      </c>
      <c r="K1001" s="1525"/>
      <c r="L1001" s="1519">
        <v>13089021909</v>
      </c>
      <c r="M1001" s="1520">
        <v>0</v>
      </c>
      <c r="N1001" s="1520">
        <v>0</v>
      </c>
      <c r="O1001" s="1520">
        <v>0</v>
      </c>
    </row>
    <row r="1002" spans="3:15" ht="13.5">
      <c r="C1002" s="1526" t="s">
        <v>4960</v>
      </c>
      <c r="D1002" s="1523">
        <v>0</v>
      </c>
      <c r="E1002" s="1523">
        <v>0</v>
      </c>
      <c r="F1002" s="1524">
        <v>0</v>
      </c>
      <c r="G1002" s="1537" t="s">
        <v>4960</v>
      </c>
      <c r="H1002" s="1521">
        <v>0</v>
      </c>
      <c r="I1002" s="1521">
        <v>0</v>
      </c>
      <c r="J1002" s="1538">
        <v>0</v>
      </c>
      <c r="K1002" s="1525"/>
      <c r="L1002" s="1519">
        <v>13089021910</v>
      </c>
      <c r="M1002" s="1520">
        <v>0</v>
      </c>
      <c r="N1002" s="1520">
        <v>0</v>
      </c>
      <c r="O1002" s="1520">
        <v>0</v>
      </c>
    </row>
    <row r="1003" spans="3:15" ht="13.5">
      <c r="C1003" s="1526" t="s">
        <v>4961</v>
      </c>
      <c r="D1003" s="1523">
        <v>0</v>
      </c>
      <c r="E1003" s="1523">
        <v>0</v>
      </c>
      <c r="F1003" s="1524">
        <v>0</v>
      </c>
      <c r="G1003" s="1537" t="s">
        <v>4961</v>
      </c>
      <c r="H1003" s="1521">
        <v>0</v>
      </c>
      <c r="I1003" s="1521" t="s">
        <v>4096</v>
      </c>
      <c r="J1003" s="1538">
        <v>0</v>
      </c>
      <c r="K1003" s="1525"/>
      <c r="L1003" s="1519">
        <v>13089021911</v>
      </c>
      <c r="M1003" s="1520">
        <v>0</v>
      </c>
      <c r="N1003" s="1520">
        <v>0</v>
      </c>
      <c r="O1003" s="1520">
        <v>0</v>
      </c>
    </row>
    <row r="1004" spans="3:15" ht="13.5">
      <c r="C1004" s="1526" t="s">
        <v>4962</v>
      </c>
      <c r="D1004" s="1523">
        <v>1</v>
      </c>
      <c r="E1004" s="1523">
        <v>1</v>
      </c>
      <c r="F1004" s="1524">
        <v>2</v>
      </c>
      <c r="G1004" s="1537" t="s">
        <v>4962</v>
      </c>
      <c r="H1004" s="1521">
        <v>1</v>
      </c>
      <c r="I1004" s="1521">
        <v>1</v>
      </c>
      <c r="J1004" s="1538">
        <v>2</v>
      </c>
      <c r="K1004" s="1525"/>
      <c r="L1004" s="1519">
        <v>13089021912</v>
      </c>
      <c r="M1004" s="1520">
        <v>1</v>
      </c>
      <c r="N1004" s="1520">
        <v>1</v>
      </c>
      <c r="O1004" s="1520">
        <v>2</v>
      </c>
    </row>
    <row r="1005" spans="3:15" ht="13.5">
      <c r="C1005" s="1526" t="s">
        <v>4963</v>
      </c>
      <c r="D1005" s="1523">
        <v>0</v>
      </c>
      <c r="E1005" s="1523">
        <v>0</v>
      </c>
      <c r="F1005" s="1524">
        <v>0</v>
      </c>
      <c r="G1005" s="1537" t="s">
        <v>4963</v>
      </c>
      <c r="H1005" s="1521">
        <v>0</v>
      </c>
      <c r="I1005" s="1521">
        <v>0</v>
      </c>
      <c r="J1005" s="1538">
        <v>0</v>
      </c>
      <c r="K1005" s="1525"/>
      <c r="L1005" s="1519">
        <v>13089021913</v>
      </c>
      <c r="M1005" s="1520">
        <v>0</v>
      </c>
      <c r="N1005" s="1520">
        <v>0</v>
      </c>
      <c r="O1005" s="1520">
        <v>0</v>
      </c>
    </row>
    <row r="1006" spans="3:15" ht="13.5">
      <c r="C1006" s="1526" t="s">
        <v>4964</v>
      </c>
      <c r="D1006" s="1523">
        <v>1</v>
      </c>
      <c r="E1006" s="1523">
        <v>1</v>
      </c>
      <c r="F1006" s="1524">
        <v>2</v>
      </c>
      <c r="G1006" s="1537" t="s">
        <v>4964</v>
      </c>
      <c r="H1006" s="1521">
        <v>1</v>
      </c>
      <c r="I1006" s="1521">
        <v>1</v>
      </c>
      <c r="J1006" s="1538">
        <v>2</v>
      </c>
      <c r="K1006" s="1525"/>
      <c r="L1006" s="1519">
        <v>13089022001</v>
      </c>
      <c r="M1006" s="1520">
        <v>1</v>
      </c>
      <c r="N1006" s="1520">
        <v>1</v>
      </c>
      <c r="O1006" s="1520">
        <v>2</v>
      </c>
    </row>
    <row r="1007" spans="3:15" ht="13.5">
      <c r="C1007" s="1526" t="s">
        <v>4965</v>
      </c>
      <c r="D1007" s="1523">
        <v>0</v>
      </c>
      <c r="E1007" s="1523">
        <v>0</v>
      </c>
      <c r="F1007" s="1524">
        <v>0</v>
      </c>
      <c r="G1007" s="1537" t="s">
        <v>4965</v>
      </c>
      <c r="H1007" s="1521">
        <v>0</v>
      </c>
      <c r="I1007" s="1521">
        <v>1</v>
      </c>
      <c r="J1007" s="1538">
        <v>1</v>
      </c>
      <c r="K1007" s="1525"/>
      <c r="L1007" s="1519">
        <v>13089022004</v>
      </c>
      <c r="M1007" s="1520">
        <v>0</v>
      </c>
      <c r="N1007" s="1520">
        <v>1</v>
      </c>
      <c r="O1007" s="1520">
        <v>1</v>
      </c>
    </row>
    <row r="1008" spans="3:15" ht="13.5">
      <c r="C1008" s="1526" t="s">
        <v>4966</v>
      </c>
      <c r="D1008" s="1523">
        <v>0</v>
      </c>
      <c r="E1008" s="1523">
        <v>0</v>
      </c>
      <c r="F1008" s="1524">
        <v>0</v>
      </c>
      <c r="G1008" s="1537" t="s">
        <v>4966</v>
      </c>
      <c r="H1008" s="1521">
        <v>0</v>
      </c>
      <c r="I1008" s="1521">
        <v>0</v>
      </c>
      <c r="J1008" s="1538">
        <v>0</v>
      </c>
      <c r="K1008" s="1525"/>
      <c r="L1008" s="1519">
        <v>13089022005</v>
      </c>
      <c r="M1008" s="1520">
        <v>0</v>
      </c>
      <c r="N1008" s="1520">
        <v>0</v>
      </c>
      <c r="O1008" s="1520">
        <v>0</v>
      </c>
    </row>
    <row r="1009" spans="3:15" ht="13.5">
      <c r="C1009" s="1526" t="s">
        <v>4967</v>
      </c>
      <c r="D1009" s="1523">
        <v>0</v>
      </c>
      <c r="E1009" s="1523">
        <v>0</v>
      </c>
      <c r="F1009" s="1524">
        <v>0</v>
      </c>
      <c r="G1009" s="1537" t="s">
        <v>4967</v>
      </c>
      <c r="H1009" s="1521">
        <v>0</v>
      </c>
      <c r="I1009" s="1521">
        <v>0</v>
      </c>
      <c r="J1009" s="1538">
        <v>0</v>
      </c>
      <c r="K1009" s="1525"/>
      <c r="L1009" s="1519">
        <v>13089022007</v>
      </c>
      <c r="M1009" s="1520">
        <v>0</v>
      </c>
      <c r="N1009" s="1520">
        <v>0</v>
      </c>
      <c r="O1009" s="1520">
        <v>0</v>
      </c>
    </row>
    <row r="1010" spans="3:15" ht="13.5">
      <c r="C1010" s="1526" t="s">
        <v>4968</v>
      </c>
      <c r="D1010" s="1523">
        <v>0</v>
      </c>
      <c r="E1010" s="1523">
        <v>0</v>
      </c>
      <c r="F1010" s="1524">
        <v>0</v>
      </c>
      <c r="G1010" s="1537" t="s">
        <v>4968</v>
      </c>
      <c r="H1010" s="1521">
        <v>0</v>
      </c>
      <c r="I1010" s="1521">
        <v>0</v>
      </c>
      <c r="J1010" s="1538">
        <v>0</v>
      </c>
      <c r="K1010" s="1525"/>
      <c r="L1010" s="1519">
        <v>13089022008</v>
      </c>
      <c r="M1010" s="1520">
        <v>0</v>
      </c>
      <c r="N1010" s="1520">
        <v>0</v>
      </c>
      <c r="O1010" s="1520">
        <v>0</v>
      </c>
    </row>
    <row r="1011" spans="3:15" ht="13.5">
      <c r="C1011" s="1526" t="s">
        <v>4969</v>
      </c>
      <c r="D1011" s="1523">
        <v>0</v>
      </c>
      <c r="E1011" s="1523">
        <v>0</v>
      </c>
      <c r="F1011" s="1524">
        <v>0</v>
      </c>
      <c r="G1011" s="1537" t="s">
        <v>4969</v>
      </c>
      <c r="H1011" s="1521">
        <v>0</v>
      </c>
      <c r="I1011" s="1521" t="s">
        <v>4096</v>
      </c>
      <c r="J1011" s="1538">
        <v>0</v>
      </c>
      <c r="K1011" s="1525"/>
      <c r="L1011" s="1519">
        <v>13089022009</v>
      </c>
      <c r="M1011" s="1520">
        <v>0</v>
      </c>
      <c r="N1011" s="1520">
        <v>0</v>
      </c>
      <c r="O1011" s="1520">
        <v>0</v>
      </c>
    </row>
    <row r="1012" spans="3:15" ht="13.5">
      <c r="C1012" s="1526" t="s">
        <v>4970</v>
      </c>
      <c r="D1012" s="1523">
        <v>0</v>
      </c>
      <c r="E1012" s="1523">
        <v>0</v>
      </c>
      <c r="F1012" s="1524">
        <v>0</v>
      </c>
      <c r="G1012" s="1537" t="s">
        <v>4970</v>
      </c>
      <c r="H1012" s="1521">
        <v>0</v>
      </c>
      <c r="I1012" s="1521">
        <v>0</v>
      </c>
      <c r="J1012" s="1538">
        <v>0</v>
      </c>
      <c r="K1012" s="1525"/>
      <c r="L1012" s="1519">
        <v>13089022010</v>
      </c>
      <c r="M1012" s="1520">
        <v>0</v>
      </c>
      <c r="N1012" s="1520">
        <v>0</v>
      </c>
      <c r="O1012" s="1520">
        <v>0</v>
      </c>
    </row>
    <row r="1013" spans="3:15" ht="13.5">
      <c r="C1013" s="1526" t="s">
        <v>4971</v>
      </c>
      <c r="D1013" s="1523">
        <v>0</v>
      </c>
      <c r="E1013" s="1523">
        <v>0</v>
      </c>
      <c r="F1013" s="1524">
        <v>0</v>
      </c>
      <c r="G1013" s="1537" t="s">
        <v>4971</v>
      </c>
      <c r="H1013" s="1521">
        <v>0</v>
      </c>
      <c r="I1013" s="1521">
        <v>0</v>
      </c>
      <c r="J1013" s="1538">
        <v>0</v>
      </c>
      <c r="K1013" s="1525"/>
      <c r="L1013" s="1519">
        <v>13089022100</v>
      </c>
      <c r="M1013" s="1520">
        <v>0</v>
      </c>
      <c r="N1013" s="1520">
        <v>0</v>
      </c>
      <c r="O1013" s="1520">
        <v>0</v>
      </c>
    </row>
    <row r="1014" spans="3:15" ht="13.5">
      <c r="C1014" s="1526" t="s">
        <v>4972</v>
      </c>
      <c r="D1014" s="1523">
        <v>0</v>
      </c>
      <c r="E1014" s="1523">
        <v>0</v>
      </c>
      <c r="F1014" s="1524">
        <v>0</v>
      </c>
      <c r="G1014" s="1537" t="s">
        <v>4972</v>
      </c>
      <c r="H1014" s="1521">
        <v>1</v>
      </c>
      <c r="I1014" s="1521">
        <v>0</v>
      </c>
      <c r="J1014" s="1538">
        <v>1</v>
      </c>
      <c r="K1014" s="1525"/>
      <c r="L1014" s="1519">
        <v>13089022203</v>
      </c>
      <c r="M1014" s="1520">
        <v>1</v>
      </c>
      <c r="N1014" s="1520">
        <v>0</v>
      </c>
      <c r="O1014" s="1520">
        <v>1</v>
      </c>
    </row>
    <row r="1015" spans="3:15" ht="13.5">
      <c r="C1015" s="1526" t="s">
        <v>4973</v>
      </c>
      <c r="D1015" s="1523">
        <v>0</v>
      </c>
      <c r="E1015" s="1523">
        <v>0</v>
      </c>
      <c r="F1015" s="1524">
        <v>0</v>
      </c>
      <c r="G1015" s="1537" t="s">
        <v>4973</v>
      </c>
      <c r="H1015" s="1521">
        <v>1</v>
      </c>
      <c r="I1015" s="1521">
        <v>0</v>
      </c>
      <c r="J1015" s="1538">
        <v>1</v>
      </c>
      <c r="K1015" s="1525"/>
      <c r="L1015" s="1519">
        <v>13089022204</v>
      </c>
      <c r="M1015" s="1520">
        <v>1</v>
      </c>
      <c r="N1015" s="1520">
        <v>0</v>
      </c>
      <c r="O1015" s="1520">
        <v>1</v>
      </c>
    </row>
    <row r="1016" spans="3:15" ht="13.5">
      <c r="C1016" s="1526" t="s">
        <v>4974</v>
      </c>
      <c r="D1016" s="1523">
        <v>1</v>
      </c>
      <c r="E1016" s="1523">
        <v>1</v>
      </c>
      <c r="F1016" s="1524">
        <v>2</v>
      </c>
      <c r="G1016" s="1537" t="s">
        <v>4974</v>
      </c>
      <c r="H1016" s="1521">
        <v>1</v>
      </c>
      <c r="I1016" s="1521">
        <v>1</v>
      </c>
      <c r="J1016" s="1538">
        <v>2</v>
      </c>
      <c r="K1016" s="1525"/>
      <c r="L1016" s="1519">
        <v>13089022301</v>
      </c>
      <c r="M1016" s="1520">
        <v>1</v>
      </c>
      <c r="N1016" s="1520">
        <v>1</v>
      </c>
      <c r="O1016" s="1520">
        <v>2</v>
      </c>
    </row>
    <row r="1017" spans="3:15" ht="13.5">
      <c r="C1017" s="1526" t="s">
        <v>4975</v>
      </c>
      <c r="D1017" s="1523">
        <v>1</v>
      </c>
      <c r="E1017" s="1523">
        <v>1</v>
      </c>
      <c r="F1017" s="1524">
        <v>2</v>
      </c>
      <c r="G1017" s="1537" t="s">
        <v>4975</v>
      </c>
      <c r="H1017" s="1521">
        <v>1</v>
      </c>
      <c r="I1017" s="1521">
        <v>1</v>
      </c>
      <c r="J1017" s="1538">
        <v>2</v>
      </c>
      <c r="K1017" s="1525"/>
      <c r="L1017" s="1519">
        <v>13089022302</v>
      </c>
      <c r="M1017" s="1520">
        <v>1</v>
      </c>
      <c r="N1017" s="1520">
        <v>1</v>
      </c>
      <c r="O1017" s="1520">
        <v>2</v>
      </c>
    </row>
    <row r="1018" spans="3:15" ht="13.5">
      <c r="C1018" s="1526" t="s">
        <v>4976</v>
      </c>
      <c r="D1018" s="1523">
        <v>1</v>
      </c>
      <c r="E1018" s="1523">
        <v>1</v>
      </c>
      <c r="F1018" s="1524">
        <v>2</v>
      </c>
      <c r="G1018" s="1537" t="s">
        <v>4976</v>
      </c>
      <c r="H1018" s="1521">
        <v>1</v>
      </c>
      <c r="I1018" s="1521">
        <v>1</v>
      </c>
      <c r="J1018" s="1538">
        <v>2</v>
      </c>
      <c r="K1018" s="1525"/>
      <c r="L1018" s="1519">
        <v>13089022401</v>
      </c>
      <c r="M1018" s="1520">
        <v>1</v>
      </c>
      <c r="N1018" s="1520">
        <v>1</v>
      </c>
      <c r="O1018" s="1520">
        <v>2</v>
      </c>
    </row>
    <row r="1019" spans="3:15" ht="13.5">
      <c r="C1019" s="1526" t="s">
        <v>4977</v>
      </c>
      <c r="D1019" s="1523">
        <v>0</v>
      </c>
      <c r="E1019" s="1523">
        <v>0</v>
      </c>
      <c r="F1019" s="1524">
        <v>0</v>
      </c>
      <c r="G1019" s="1537" t="s">
        <v>4977</v>
      </c>
      <c r="H1019" s="1521">
        <v>0</v>
      </c>
      <c r="I1019" s="1521" t="s">
        <v>4096</v>
      </c>
      <c r="J1019" s="1538">
        <v>0</v>
      </c>
      <c r="K1019" s="1525"/>
      <c r="L1019" s="1519">
        <v>13089022402</v>
      </c>
      <c r="M1019" s="1520">
        <v>0</v>
      </c>
      <c r="N1019" s="1520">
        <v>0</v>
      </c>
      <c r="O1019" s="1520">
        <v>0</v>
      </c>
    </row>
    <row r="1020" spans="3:15" ht="13.5">
      <c r="C1020" s="1526" t="s">
        <v>4978</v>
      </c>
      <c r="D1020" s="1523">
        <v>1</v>
      </c>
      <c r="E1020" s="1523">
        <v>1</v>
      </c>
      <c r="F1020" s="1524">
        <v>2</v>
      </c>
      <c r="G1020" s="1537" t="s">
        <v>4978</v>
      </c>
      <c r="H1020" s="1521">
        <v>1</v>
      </c>
      <c r="I1020" s="1521">
        <v>1</v>
      </c>
      <c r="J1020" s="1538">
        <v>2</v>
      </c>
      <c r="K1020" s="1525"/>
      <c r="L1020" s="1519">
        <v>13089022403</v>
      </c>
      <c r="M1020" s="1520">
        <v>1</v>
      </c>
      <c r="N1020" s="1520">
        <v>1</v>
      </c>
      <c r="O1020" s="1520">
        <v>2</v>
      </c>
    </row>
    <row r="1021" spans="3:15" ht="13.5">
      <c r="C1021" s="1526" t="s">
        <v>4979</v>
      </c>
      <c r="D1021" s="1523">
        <v>1</v>
      </c>
      <c r="E1021" s="1523">
        <v>1</v>
      </c>
      <c r="F1021" s="1524">
        <v>2</v>
      </c>
      <c r="G1021" s="1537" t="s">
        <v>4979</v>
      </c>
      <c r="H1021" s="1521">
        <v>1</v>
      </c>
      <c r="I1021" s="1521">
        <v>1</v>
      </c>
      <c r="J1021" s="1538">
        <v>2</v>
      </c>
      <c r="K1021" s="1525"/>
      <c r="L1021" s="1519">
        <v>13089022500</v>
      </c>
      <c r="M1021" s="1520">
        <v>1</v>
      </c>
      <c r="N1021" s="1520">
        <v>1</v>
      </c>
      <c r="O1021" s="1520">
        <v>2</v>
      </c>
    </row>
    <row r="1022" spans="3:15" ht="13.5">
      <c r="C1022" s="1526" t="s">
        <v>4980</v>
      </c>
      <c r="D1022" s="1523">
        <v>1</v>
      </c>
      <c r="E1022" s="1523">
        <v>1</v>
      </c>
      <c r="F1022" s="1524">
        <v>2</v>
      </c>
      <c r="G1022" s="1537" t="s">
        <v>4980</v>
      </c>
      <c r="H1022" s="1521">
        <v>1</v>
      </c>
      <c r="I1022" s="1521">
        <v>1</v>
      </c>
      <c r="J1022" s="1538">
        <v>2</v>
      </c>
      <c r="K1022" s="1525"/>
      <c r="L1022" s="1519">
        <v>13089022600</v>
      </c>
      <c r="M1022" s="1520">
        <v>1</v>
      </c>
      <c r="N1022" s="1520">
        <v>1</v>
      </c>
      <c r="O1022" s="1520">
        <v>2</v>
      </c>
    </row>
    <row r="1023" spans="3:15" ht="13.5">
      <c r="C1023" s="1526" t="s">
        <v>4981</v>
      </c>
      <c r="D1023" s="1523">
        <v>1</v>
      </c>
      <c r="E1023" s="1523">
        <v>1</v>
      </c>
      <c r="F1023" s="1524">
        <v>2</v>
      </c>
      <c r="G1023" s="1537" t="s">
        <v>4981</v>
      </c>
      <c r="H1023" s="1521">
        <v>1</v>
      </c>
      <c r="I1023" s="1521">
        <v>1</v>
      </c>
      <c r="J1023" s="1538">
        <v>2</v>
      </c>
      <c r="K1023" s="1525"/>
      <c r="L1023" s="1519">
        <v>13089022700</v>
      </c>
      <c r="M1023" s="1520">
        <v>1</v>
      </c>
      <c r="N1023" s="1520">
        <v>1</v>
      </c>
      <c r="O1023" s="1520">
        <v>2</v>
      </c>
    </row>
    <row r="1024" spans="3:15" ht="13.5">
      <c r="C1024" s="1526" t="s">
        <v>4982</v>
      </c>
      <c r="D1024" s="1523">
        <v>1</v>
      </c>
      <c r="E1024" s="1523">
        <v>1</v>
      </c>
      <c r="F1024" s="1524">
        <v>2</v>
      </c>
      <c r="G1024" s="1537" t="s">
        <v>4982</v>
      </c>
      <c r="H1024" s="1521">
        <v>1</v>
      </c>
      <c r="I1024" s="1521">
        <v>1</v>
      </c>
      <c r="J1024" s="1538">
        <v>2</v>
      </c>
      <c r="K1024" s="1525"/>
      <c r="L1024" s="1519">
        <v>13089022800</v>
      </c>
      <c r="M1024" s="1520">
        <v>1</v>
      </c>
      <c r="N1024" s="1520">
        <v>1</v>
      </c>
      <c r="O1024" s="1520">
        <v>2</v>
      </c>
    </row>
    <row r="1025" spans="3:15" ht="13.5">
      <c r="C1025" s="1526" t="s">
        <v>4983</v>
      </c>
      <c r="D1025" s="1523">
        <v>1</v>
      </c>
      <c r="E1025" s="1523">
        <v>1</v>
      </c>
      <c r="F1025" s="1524">
        <v>2</v>
      </c>
      <c r="G1025" s="1537" t="s">
        <v>4983</v>
      </c>
      <c r="H1025" s="1521">
        <v>1</v>
      </c>
      <c r="I1025" s="1521">
        <v>1</v>
      </c>
      <c r="J1025" s="1538">
        <v>2</v>
      </c>
      <c r="K1025" s="1525"/>
      <c r="L1025" s="1519">
        <v>13089022900</v>
      </c>
      <c r="M1025" s="1520">
        <v>1</v>
      </c>
      <c r="N1025" s="1520">
        <v>1</v>
      </c>
      <c r="O1025" s="1520">
        <v>2</v>
      </c>
    </row>
    <row r="1026" spans="3:15" ht="13.5">
      <c r="C1026" s="1526" t="s">
        <v>4984</v>
      </c>
      <c r="D1026" s="1523">
        <v>1</v>
      </c>
      <c r="E1026" s="1523">
        <v>1</v>
      </c>
      <c r="F1026" s="1524">
        <v>2</v>
      </c>
      <c r="G1026" s="1537" t="s">
        <v>4984</v>
      </c>
      <c r="H1026" s="1521">
        <v>1</v>
      </c>
      <c r="I1026" s="1521">
        <v>1</v>
      </c>
      <c r="J1026" s="1538">
        <v>2</v>
      </c>
      <c r="K1026" s="1525"/>
      <c r="L1026" s="1519">
        <v>13089023000</v>
      </c>
      <c r="M1026" s="1520">
        <v>1</v>
      </c>
      <c r="N1026" s="1520">
        <v>1</v>
      </c>
      <c r="O1026" s="1520">
        <v>2</v>
      </c>
    </row>
    <row r="1027" spans="3:15" ht="13.5">
      <c r="C1027" s="1526" t="s">
        <v>4985</v>
      </c>
      <c r="D1027" s="1523">
        <v>0</v>
      </c>
      <c r="E1027" s="1523">
        <v>0</v>
      </c>
      <c r="F1027" s="1524">
        <v>0</v>
      </c>
      <c r="G1027" s="1537" t="s">
        <v>4985</v>
      </c>
      <c r="H1027" s="1521">
        <v>0</v>
      </c>
      <c r="I1027" s="1521">
        <v>0</v>
      </c>
      <c r="J1027" s="1538">
        <v>0</v>
      </c>
      <c r="K1027" s="1525"/>
      <c r="L1027" s="1519">
        <v>13089023101</v>
      </c>
      <c r="M1027" s="1520">
        <v>0</v>
      </c>
      <c r="N1027" s="1520">
        <v>0</v>
      </c>
      <c r="O1027" s="1520">
        <v>0</v>
      </c>
    </row>
    <row r="1028" spans="3:15" ht="13.5">
      <c r="C1028" s="1526" t="s">
        <v>4986</v>
      </c>
      <c r="D1028" s="1523">
        <v>0</v>
      </c>
      <c r="E1028" s="1523">
        <v>0</v>
      </c>
      <c r="F1028" s="1524">
        <v>0</v>
      </c>
      <c r="G1028" s="1537" t="s">
        <v>4986</v>
      </c>
      <c r="H1028" s="1521">
        <v>1</v>
      </c>
      <c r="I1028" s="1521">
        <v>0</v>
      </c>
      <c r="J1028" s="1538">
        <v>1</v>
      </c>
      <c r="K1028" s="1525"/>
      <c r="L1028" s="1519">
        <v>13089023102</v>
      </c>
      <c r="M1028" s="1520">
        <v>1</v>
      </c>
      <c r="N1028" s="1520">
        <v>0</v>
      </c>
      <c r="O1028" s="1520">
        <v>1</v>
      </c>
    </row>
    <row r="1029" spans="3:15" ht="13.5">
      <c r="C1029" s="1526" t="s">
        <v>4987</v>
      </c>
      <c r="D1029" s="1523">
        <v>0</v>
      </c>
      <c r="E1029" s="1523">
        <v>0</v>
      </c>
      <c r="F1029" s="1524">
        <v>0</v>
      </c>
      <c r="G1029" s="1537" t="s">
        <v>4987</v>
      </c>
      <c r="H1029" s="1521">
        <v>0</v>
      </c>
      <c r="I1029" s="1521">
        <v>0</v>
      </c>
      <c r="J1029" s="1538">
        <v>0</v>
      </c>
      <c r="K1029" s="1525"/>
      <c r="L1029" s="1519">
        <v>13089023107</v>
      </c>
      <c r="M1029" s="1520">
        <v>0</v>
      </c>
      <c r="N1029" s="1520">
        <v>0</v>
      </c>
      <c r="O1029" s="1520">
        <v>0</v>
      </c>
    </row>
    <row r="1030" spans="3:15" ht="13.5">
      <c r="C1030" s="1526" t="s">
        <v>4988</v>
      </c>
      <c r="D1030" s="1523">
        <v>0</v>
      </c>
      <c r="E1030" s="1523">
        <v>0</v>
      </c>
      <c r="F1030" s="1524">
        <v>0</v>
      </c>
      <c r="G1030" s="1537" t="s">
        <v>4988</v>
      </c>
      <c r="H1030" s="1521">
        <v>0</v>
      </c>
      <c r="I1030" s="1521">
        <v>0</v>
      </c>
      <c r="J1030" s="1538">
        <v>0</v>
      </c>
      <c r="K1030" s="1525"/>
      <c r="L1030" s="1519">
        <v>13089023108</v>
      </c>
      <c r="M1030" s="1520">
        <v>0</v>
      </c>
      <c r="N1030" s="1520">
        <v>0</v>
      </c>
      <c r="O1030" s="1520">
        <v>0</v>
      </c>
    </row>
    <row r="1031" spans="3:15" ht="13.5">
      <c r="C1031" s="1526" t="s">
        <v>4989</v>
      </c>
      <c r="D1031" s="1523">
        <v>0</v>
      </c>
      <c r="E1031" s="1523">
        <v>0</v>
      </c>
      <c r="F1031" s="1524">
        <v>0</v>
      </c>
      <c r="G1031" s="1537" t="s">
        <v>4989</v>
      </c>
      <c r="H1031" s="1521">
        <v>0</v>
      </c>
      <c r="I1031" s="1521">
        <v>0</v>
      </c>
      <c r="J1031" s="1538">
        <v>0</v>
      </c>
      <c r="K1031" s="1525"/>
      <c r="L1031" s="1519">
        <v>13089023111</v>
      </c>
      <c r="M1031" s="1520">
        <v>0</v>
      </c>
      <c r="N1031" s="1520">
        <v>0</v>
      </c>
      <c r="O1031" s="1520">
        <v>0</v>
      </c>
    </row>
    <row r="1032" spans="3:15" ht="13.5">
      <c r="C1032" s="1526" t="s">
        <v>4990</v>
      </c>
      <c r="D1032" s="1523">
        <v>0</v>
      </c>
      <c r="E1032" s="1523">
        <v>0</v>
      </c>
      <c r="F1032" s="1524">
        <v>0</v>
      </c>
      <c r="G1032" s="1537" t="s">
        <v>4990</v>
      </c>
      <c r="H1032" s="1521">
        <v>0</v>
      </c>
      <c r="I1032" s="1521" t="s">
        <v>4096</v>
      </c>
      <c r="J1032" s="1538">
        <v>0</v>
      </c>
      <c r="K1032" s="1525"/>
      <c r="L1032" s="1519">
        <v>13089023112</v>
      </c>
      <c r="M1032" s="1520">
        <v>0</v>
      </c>
      <c r="N1032" s="1520">
        <v>0</v>
      </c>
      <c r="O1032" s="1520">
        <v>0</v>
      </c>
    </row>
    <row r="1033" spans="3:15" ht="13.5">
      <c r="C1033" s="1526" t="s">
        <v>4991</v>
      </c>
      <c r="D1033" s="1523">
        <v>0</v>
      </c>
      <c r="E1033" s="1523">
        <v>0</v>
      </c>
      <c r="F1033" s="1524">
        <v>0</v>
      </c>
      <c r="G1033" s="1537" t="s">
        <v>4991</v>
      </c>
      <c r="H1033" s="1521">
        <v>0</v>
      </c>
      <c r="I1033" s="1521">
        <v>0</v>
      </c>
      <c r="J1033" s="1538">
        <v>0</v>
      </c>
      <c r="K1033" s="1525"/>
      <c r="L1033" s="1519">
        <v>13089023113</v>
      </c>
      <c r="M1033" s="1520">
        <v>0</v>
      </c>
      <c r="N1033" s="1520">
        <v>0</v>
      </c>
      <c r="O1033" s="1520">
        <v>0</v>
      </c>
    </row>
    <row r="1034" spans="3:15" ht="13.5">
      <c r="C1034" s="1526" t="s">
        <v>4992</v>
      </c>
      <c r="D1034" s="1523">
        <v>0</v>
      </c>
      <c r="E1034" s="1523">
        <v>0</v>
      </c>
      <c r="F1034" s="1524">
        <v>0</v>
      </c>
      <c r="G1034" s="1537" t="s">
        <v>4992</v>
      </c>
      <c r="H1034" s="1521">
        <v>0</v>
      </c>
      <c r="I1034" s="1521">
        <v>0</v>
      </c>
      <c r="J1034" s="1538">
        <v>0</v>
      </c>
      <c r="K1034" s="1525"/>
      <c r="L1034" s="1519">
        <v>13089023114</v>
      </c>
      <c r="M1034" s="1520">
        <v>0</v>
      </c>
      <c r="N1034" s="1520">
        <v>0</v>
      </c>
      <c r="O1034" s="1520">
        <v>0</v>
      </c>
    </row>
    <row r="1035" spans="3:15" ht="13.5">
      <c r="C1035" s="1526" t="s">
        <v>4993</v>
      </c>
      <c r="D1035" s="1523" t="s">
        <v>4096</v>
      </c>
      <c r="E1035" s="1523" t="s">
        <v>4096</v>
      </c>
      <c r="F1035" s="1524">
        <v>0</v>
      </c>
      <c r="G1035" s="1537" t="s">
        <v>4993</v>
      </c>
      <c r="H1035" s="1521" t="s">
        <v>4096</v>
      </c>
      <c r="I1035" s="1521" t="s">
        <v>4096</v>
      </c>
      <c r="J1035" s="1538">
        <v>0</v>
      </c>
      <c r="K1035" s="1525"/>
      <c r="L1035" s="1519">
        <v>13089023115</v>
      </c>
      <c r="M1035" s="1520">
        <v>0</v>
      </c>
      <c r="N1035" s="1520">
        <v>0</v>
      </c>
      <c r="O1035" s="1520">
        <v>0</v>
      </c>
    </row>
    <row r="1036" spans="3:15" ht="13.5">
      <c r="C1036" s="1526" t="s">
        <v>4994</v>
      </c>
      <c r="D1036" s="1523">
        <v>0</v>
      </c>
      <c r="E1036" s="1523">
        <v>0</v>
      </c>
      <c r="F1036" s="1524">
        <v>0</v>
      </c>
      <c r="G1036" s="1537" t="s">
        <v>4994</v>
      </c>
      <c r="H1036" s="1521">
        <v>0</v>
      </c>
      <c r="I1036" s="1521">
        <v>0</v>
      </c>
      <c r="J1036" s="1538">
        <v>0</v>
      </c>
      <c r="K1036" s="1525"/>
      <c r="L1036" s="1519">
        <v>13089023204</v>
      </c>
      <c r="M1036" s="1520">
        <v>0</v>
      </c>
      <c r="N1036" s="1520">
        <v>0</v>
      </c>
      <c r="O1036" s="1520">
        <v>0</v>
      </c>
    </row>
    <row r="1037" spans="3:15" ht="13.5">
      <c r="C1037" s="1526" t="s">
        <v>4995</v>
      </c>
      <c r="D1037" s="1523">
        <v>0</v>
      </c>
      <c r="E1037" s="1523">
        <v>0</v>
      </c>
      <c r="F1037" s="1524">
        <v>0</v>
      </c>
      <c r="G1037" s="1537" t="s">
        <v>4995</v>
      </c>
      <c r="H1037" s="1521">
        <v>0</v>
      </c>
      <c r="I1037" s="1521">
        <v>1</v>
      </c>
      <c r="J1037" s="1538">
        <v>1</v>
      </c>
      <c r="K1037" s="1525"/>
      <c r="L1037" s="1519">
        <v>13089023206</v>
      </c>
      <c r="M1037" s="1520">
        <v>0</v>
      </c>
      <c r="N1037" s="1520">
        <v>1</v>
      </c>
      <c r="O1037" s="1520">
        <v>1</v>
      </c>
    </row>
    <row r="1038" spans="3:15" ht="13.5">
      <c r="C1038" s="1526" t="s">
        <v>4996</v>
      </c>
      <c r="D1038" s="1523">
        <v>0</v>
      </c>
      <c r="E1038" s="1523">
        <v>0</v>
      </c>
      <c r="F1038" s="1524">
        <v>0</v>
      </c>
      <c r="G1038" s="1537" t="s">
        <v>4996</v>
      </c>
      <c r="H1038" s="1521">
        <v>0</v>
      </c>
      <c r="I1038" s="1521">
        <v>0</v>
      </c>
      <c r="J1038" s="1538">
        <v>0</v>
      </c>
      <c r="K1038" s="1525"/>
      <c r="L1038" s="1519">
        <v>13089023208</v>
      </c>
      <c r="M1038" s="1520">
        <v>0</v>
      </c>
      <c r="N1038" s="1520">
        <v>0</v>
      </c>
      <c r="O1038" s="1520">
        <v>0</v>
      </c>
    </row>
    <row r="1039" spans="3:15" ht="13.5">
      <c r="C1039" s="1526" t="s">
        <v>4997</v>
      </c>
      <c r="D1039" s="1523">
        <v>0</v>
      </c>
      <c r="E1039" s="1523">
        <v>0</v>
      </c>
      <c r="F1039" s="1524">
        <v>0</v>
      </c>
      <c r="G1039" s="1537" t="s">
        <v>4997</v>
      </c>
      <c r="H1039" s="1521">
        <v>0</v>
      </c>
      <c r="I1039" s="1521">
        <v>0</v>
      </c>
      <c r="J1039" s="1538">
        <v>0</v>
      </c>
      <c r="K1039" s="1525"/>
      <c r="L1039" s="1519">
        <v>13089023209</v>
      </c>
      <c r="M1039" s="1520">
        <v>0</v>
      </c>
      <c r="N1039" s="1520">
        <v>0</v>
      </c>
      <c r="O1039" s="1520">
        <v>0</v>
      </c>
    </row>
    <row r="1040" spans="3:15" ht="13.5">
      <c r="C1040" s="1526" t="s">
        <v>4998</v>
      </c>
      <c r="D1040" s="1523">
        <v>0</v>
      </c>
      <c r="E1040" s="1523">
        <v>0</v>
      </c>
      <c r="F1040" s="1524">
        <v>0</v>
      </c>
      <c r="G1040" s="1537" t="s">
        <v>4998</v>
      </c>
      <c r="H1040" s="1521">
        <v>0</v>
      </c>
      <c r="I1040" s="1521">
        <v>0</v>
      </c>
      <c r="J1040" s="1538">
        <v>0</v>
      </c>
      <c r="K1040" s="1525"/>
      <c r="L1040" s="1519">
        <v>13089023210</v>
      </c>
      <c r="M1040" s="1520">
        <v>0</v>
      </c>
      <c r="N1040" s="1520">
        <v>0</v>
      </c>
      <c r="O1040" s="1520">
        <v>0</v>
      </c>
    </row>
    <row r="1041" spans="3:15" ht="13.5">
      <c r="C1041" s="1526" t="s">
        <v>4999</v>
      </c>
      <c r="D1041" s="1523">
        <v>0</v>
      </c>
      <c r="E1041" s="1523">
        <v>0</v>
      </c>
      <c r="F1041" s="1524">
        <v>0</v>
      </c>
      <c r="G1041" s="1537" t="s">
        <v>4999</v>
      </c>
      <c r="H1041" s="1521">
        <v>0</v>
      </c>
      <c r="I1041" s="1521">
        <v>0</v>
      </c>
      <c r="J1041" s="1538">
        <v>0</v>
      </c>
      <c r="K1041" s="1525"/>
      <c r="L1041" s="1519">
        <v>13089023211</v>
      </c>
      <c r="M1041" s="1520">
        <v>0</v>
      </c>
      <c r="N1041" s="1520">
        <v>0</v>
      </c>
      <c r="O1041" s="1520">
        <v>0</v>
      </c>
    </row>
    <row r="1042" spans="3:15" ht="13.5">
      <c r="C1042" s="1526" t="s">
        <v>5000</v>
      </c>
      <c r="D1042" s="1523">
        <v>0</v>
      </c>
      <c r="E1042" s="1523">
        <v>0</v>
      </c>
      <c r="F1042" s="1524">
        <v>0</v>
      </c>
      <c r="G1042" s="1537" t="s">
        <v>5000</v>
      </c>
      <c r="H1042" s="1521">
        <v>0</v>
      </c>
      <c r="I1042" s="1521">
        <v>0</v>
      </c>
      <c r="J1042" s="1538">
        <v>0</v>
      </c>
      <c r="K1042" s="1525"/>
      <c r="L1042" s="1519">
        <v>13089023212</v>
      </c>
      <c r="M1042" s="1520">
        <v>0</v>
      </c>
      <c r="N1042" s="1520">
        <v>0</v>
      </c>
      <c r="O1042" s="1520">
        <v>0</v>
      </c>
    </row>
    <row r="1043" spans="3:15" ht="13.5">
      <c r="C1043" s="1526" t="s">
        <v>5001</v>
      </c>
      <c r="D1043" s="1523">
        <v>0</v>
      </c>
      <c r="E1043" s="1523">
        <v>0</v>
      </c>
      <c r="F1043" s="1524">
        <v>0</v>
      </c>
      <c r="G1043" s="1537" t="s">
        <v>5001</v>
      </c>
      <c r="H1043" s="1521">
        <v>0</v>
      </c>
      <c r="I1043" s="1521">
        <v>0</v>
      </c>
      <c r="J1043" s="1538">
        <v>0</v>
      </c>
      <c r="K1043" s="1525"/>
      <c r="L1043" s="1519">
        <v>13089023213</v>
      </c>
      <c r="M1043" s="1520">
        <v>0</v>
      </c>
      <c r="N1043" s="1520">
        <v>0</v>
      </c>
      <c r="O1043" s="1520">
        <v>0</v>
      </c>
    </row>
    <row r="1044" spans="3:15" ht="13.5">
      <c r="C1044" s="1526" t="s">
        <v>5002</v>
      </c>
      <c r="D1044" s="1523">
        <v>0</v>
      </c>
      <c r="E1044" s="1523">
        <v>0</v>
      </c>
      <c r="F1044" s="1524">
        <v>0</v>
      </c>
      <c r="G1044" s="1537" t="s">
        <v>5002</v>
      </c>
      <c r="H1044" s="1521">
        <v>0</v>
      </c>
      <c r="I1044" s="1521" t="s">
        <v>4096</v>
      </c>
      <c r="J1044" s="1538">
        <v>0</v>
      </c>
      <c r="K1044" s="1525"/>
      <c r="L1044" s="1519">
        <v>13089023214</v>
      </c>
      <c r="M1044" s="1520">
        <v>0</v>
      </c>
      <c r="N1044" s="1520">
        <v>0</v>
      </c>
      <c r="O1044" s="1520">
        <v>0</v>
      </c>
    </row>
    <row r="1045" spans="3:15" ht="13.5">
      <c r="C1045" s="1526" t="s">
        <v>5003</v>
      </c>
      <c r="D1045" s="1523">
        <v>0</v>
      </c>
      <c r="E1045" s="1523">
        <v>0</v>
      </c>
      <c r="F1045" s="1524">
        <v>0</v>
      </c>
      <c r="G1045" s="1537" t="s">
        <v>5003</v>
      </c>
      <c r="H1045" s="1521">
        <v>0</v>
      </c>
      <c r="I1045" s="1521">
        <v>0</v>
      </c>
      <c r="J1045" s="1538">
        <v>0</v>
      </c>
      <c r="K1045" s="1525"/>
      <c r="L1045" s="1519">
        <v>13089023303</v>
      </c>
      <c r="M1045" s="1520">
        <v>0</v>
      </c>
      <c r="N1045" s="1520">
        <v>0</v>
      </c>
      <c r="O1045" s="1520">
        <v>0</v>
      </c>
    </row>
    <row r="1046" spans="3:15" ht="13.5">
      <c r="C1046" s="1526" t="s">
        <v>5004</v>
      </c>
      <c r="D1046" s="1523">
        <v>1</v>
      </c>
      <c r="E1046" s="1523">
        <v>1</v>
      </c>
      <c r="F1046" s="1524">
        <v>2</v>
      </c>
      <c r="G1046" s="1537" t="s">
        <v>5004</v>
      </c>
      <c r="H1046" s="1521">
        <v>0</v>
      </c>
      <c r="I1046" s="1521">
        <v>1</v>
      </c>
      <c r="J1046" s="1538">
        <v>1</v>
      </c>
      <c r="K1046" s="1525"/>
      <c r="L1046" s="1519">
        <v>13089023306</v>
      </c>
      <c r="M1046" s="1520">
        <v>1</v>
      </c>
      <c r="N1046" s="1520">
        <v>1</v>
      </c>
      <c r="O1046" s="1520">
        <v>2</v>
      </c>
    </row>
    <row r="1047" spans="3:15" ht="13.5">
      <c r="C1047" s="1526" t="s">
        <v>5005</v>
      </c>
      <c r="D1047" s="1523">
        <v>0</v>
      </c>
      <c r="E1047" s="1523">
        <v>0</v>
      </c>
      <c r="F1047" s="1524">
        <v>0</v>
      </c>
      <c r="G1047" s="1537" t="s">
        <v>5005</v>
      </c>
      <c r="H1047" s="1521">
        <v>0</v>
      </c>
      <c r="I1047" s="1521">
        <v>0</v>
      </c>
      <c r="J1047" s="1538">
        <v>0</v>
      </c>
      <c r="K1047" s="1525"/>
      <c r="L1047" s="1519">
        <v>13089023309</v>
      </c>
      <c r="M1047" s="1520">
        <v>0</v>
      </c>
      <c r="N1047" s="1520">
        <v>0</v>
      </c>
      <c r="O1047" s="1520">
        <v>0</v>
      </c>
    </row>
    <row r="1048" spans="3:15" ht="13.5">
      <c r="C1048" s="1526" t="s">
        <v>5006</v>
      </c>
      <c r="D1048" s="1523">
        <v>0</v>
      </c>
      <c r="E1048" s="1523">
        <v>0</v>
      </c>
      <c r="F1048" s="1524">
        <v>0</v>
      </c>
      <c r="G1048" s="1537" t="s">
        <v>5006</v>
      </c>
      <c r="H1048" s="1521">
        <v>0</v>
      </c>
      <c r="I1048" s="1521">
        <v>0</v>
      </c>
      <c r="J1048" s="1538">
        <v>0</v>
      </c>
      <c r="K1048" s="1525"/>
      <c r="L1048" s="1519">
        <v>13089023310</v>
      </c>
      <c r="M1048" s="1520">
        <v>0</v>
      </c>
      <c r="N1048" s="1520">
        <v>0</v>
      </c>
      <c r="O1048" s="1520">
        <v>0</v>
      </c>
    </row>
    <row r="1049" spans="3:15" ht="13.5">
      <c r="C1049" s="1526" t="s">
        <v>5007</v>
      </c>
      <c r="D1049" s="1523">
        <v>1</v>
      </c>
      <c r="E1049" s="1523">
        <v>0</v>
      </c>
      <c r="F1049" s="1524">
        <v>1</v>
      </c>
      <c r="G1049" s="1537" t="s">
        <v>5007</v>
      </c>
      <c r="H1049" s="1521">
        <v>1</v>
      </c>
      <c r="I1049" s="1521">
        <v>0</v>
      </c>
      <c r="J1049" s="1538">
        <v>1</v>
      </c>
      <c r="K1049" s="1525"/>
      <c r="L1049" s="1519">
        <v>13089023311</v>
      </c>
      <c r="M1049" s="1520">
        <v>1</v>
      </c>
      <c r="N1049" s="1520">
        <v>0</v>
      </c>
      <c r="O1049" s="1520">
        <v>1</v>
      </c>
    </row>
    <row r="1050" spans="3:15" ht="13.5">
      <c r="C1050" s="1526" t="s">
        <v>5008</v>
      </c>
      <c r="D1050" s="1523">
        <v>0</v>
      </c>
      <c r="E1050" s="1523">
        <v>0</v>
      </c>
      <c r="F1050" s="1524">
        <v>0</v>
      </c>
      <c r="G1050" s="1537" t="s">
        <v>5008</v>
      </c>
      <c r="H1050" s="1521">
        <v>0</v>
      </c>
      <c r="I1050" s="1521">
        <v>0</v>
      </c>
      <c r="J1050" s="1538">
        <v>0</v>
      </c>
      <c r="K1050" s="1525"/>
      <c r="L1050" s="1519">
        <v>13089023312</v>
      </c>
      <c r="M1050" s="1520">
        <v>0</v>
      </c>
      <c r="N1050" s="1520">
        <v>0</v>
      </c>
      <c r="O1050" s="1520">
        <v>0</v>
      </c>
    </row>
    <row r="1051" spans="3:15" ht="13.5">
      <c r="C1051" s="1526" t="s">
        <v>5009</v>
      </c>
      <c r="D1051" s="1523">
        <v>0</v>
      </c>
      <c r="E1051" s="1523">
        <v>0</v>
      </c>
      <c r="F1051" s="1524">
        <v>0</v>
      </c>
      <c r="G1051" s="1537" t="s">
        <v>5009</v>
      </c>
      <c r="H1051" s="1521">
        <v>0</v>
      </c>
      <c r="I1051" s="1521">
        <v>0</v>
      </c>
      <c r="J1051" s="1538">
        <v>0</v>
      </c>
      <c r="K1051" s="1525"/>
      <c r="L1051" s="1519">
        <v>13089023313</v>
      </c>
      <c r="M1051" s="1520">
        <v>0</v>
      </c>
      <c r="N1051" s="1520">
        <v>0</v>
      </c>
      <c r="O1051" s="1520">
        <v>0</v>
      </c>
    </row>
    <row r="1052" spans="3:15" ht="13.5">
      <c r="C1052" s="1526" t="s">
        <v>5010</v>
      </c>
      <c r="D1052" s="1523">
        <v>0</v>
      </c>
      <c r="E1052" s="1523">
        <v>0</v>
      </c>
      <c r="F1052" s="1524">
        <v>0</v>
      </c>
      <c r="G1052" s="1537" t="s">
        <v>5010</v>
      </c>
      <c r="H1052" s="1521">
        <v>0</v>
      </c>
      <c r="I1052" s="1521">
        <v>0</v>
      </c>
      <c r="J1052" s="1538">
        <v>0</v>
      </c>
      <c r="K1052" s="1525"/>
      <c r="L1052" s="1519">
        <v>13089023314</v>
      </c>
      <c r="M1052" s="1520">
        <v>0</v>
      </c>
      <c r="N1052" s="1520">
        <v>0</v>
      </c>
      <c r="O1052" s="1520">
        <v>0</v>
      </c>
    </row>
    <row r="1053" spans="3:15" ht="13.5">
      <c r="C1053" s="1526" t="s">
        <v>5011</v>
      </c>
      <c r="D1053" s="1523">
        <v>1</v>
      </c>
      <c r="E1053" s="1523">
        <v>1</v>
      </c>
      <c r="F1053" s="1524">
        <v>2</v>
      </c>
      <c r="G1053" s="1537" t="s">
        <v>5011</v>
      </c>
      <c r="H1053" s="1521">
        <v>1</v>
      </c>
      <c r="I1053" s="1521">
        <v>0</v>
      </c>
      <c r="J1053" s="1538">
        <v>1</v>
      </c>
      <c r="K1053" s="1525"/>
      <c r="L1053" s="1519">
        <v>13089023315</v>
      </c>
      <c r="M1053" s="1520">
        <v>1</v>
      </c>
      <c r="N1053" s="1520">
        <v>1</v>
      </c>
      <c r="O1053" s="1520">
        <v>2</v>
      </c>
    </row>
    <row r="1054" spans="3:15" ht="13.5">
      <c r="C1054" s="1526" t="s">
        <v>5012</v>
      </c>
      <c r="D1054" s="1523">
        <v>0</v>
      </c>
      <c r="E1054" s="1523">
        <v>0</v>
      </c>
      <c r="F1054" s="1524">
        <v>0</v>
      </c>
      <c r="G1054" s="1537" t="s">
        <v>5012</v>
      </c>
      <c r="H1054" s="1521">
        <v>1</v>
      </c>
      <c r="I1054" s="1521">
        <v>1</v>
      </c>
      <c r="J1054" s="1538">
        <v>1</v>
      </c>
      <c r="K1054" s="1525"/>
      <c r="L1054" s="1519">
        <v>13089023316</v>
      </c>
      <c r="M1054" s="1520">
        <v>1</v>
      </c>
      <c r="N1054" s="1520">
        <v>1</v>
      </c>
      <c r="O1054" s="1520">
        <v>1</v>
      </c>
    </row>
    <row r="1055" spans="3:15" ht="13.5">
      <c r="C1055" s="1526" t="s">
        <v>5013</v>
      </c>
      <c r="D1055" s="1523">
        <v>0</v>
      </c>
      <c r="E1055" s="1523">
        <v>0</v>
      </c>
      <c r="F1055" s="1524">
        <v>0</v>
      </c>
      <c r="G1055" s="1537" t="s">
        <v>5013</v>
      </c>
      <c r="H1055" s="1521">
        <v>0</v>
      </c>
      <c r="I1055" s="1521">
        <v>0</v>
      </c>
      <c r="J1055" s="1538">
        <v>0</v>
      </c>
      <c r="K1055" s="1525"/>
      <c r="L1055" s="1519">
        <v>13089023410</v>
      </c>
      <c r="M1055" s="1520">
        <v>0</v>
      </c>
      <c r="N1055" s="1520">
        <v>0</v>
      </c>
      <c r="O1055" s="1520">
        <v>0</v>
      </c>
    </row>
    <row r="1056" spans="3:15" ht="13.5">
      <c r="C1056" s="1526" t="s">
        <v>5014</v>
      </c>
      <c r="D1056" s="1523">
        <v>0</v>
      </c>
      <c r="E1056" s="1523">
        <v>0</v>
      </c>
      <c r="F1056" s="1524">
        <v>0</v>
      </c>
      <c r="G1056" s="1537" t="s">
        <v>5014</v>
      </c>
      <c r="H1056" s="1521">
        <v>0</v>
      </c>
      <c r="I1056" s="1521" t="s">
        <v>4096</v>
      </c>
      <c r="J1056" s="1538">
        <v>0</v>
      </c>
      <c r="K1056" s="1525"/>
      <c r="L1056" s="1519">
        <v>13089023411</v>
      </c>
      <c r="M1056" s="1520">
        <v>0</v>
      </c>
      <c r="N1056" s="1520">
        <v>0</v>
      </c>
      <c r="O1056" s="1520">
        <v>0</v>
      </c>
    </row>
    <row r="1057" spans="3:15" ht="13.5">
      <c r="C1057" s="1526" t="s">
        <v>5015</v>
      </c>
      <c r="D1057" s="1523">
        <v>0</v>
      </c>
      <c r="E1057" s="1523">
        <v>0</v>
      </c>
      <c r="F1057" s="1524">
        <v>0</v>
      </c>
      <c r="G1057" s="1537" t="s">
        <v>5015</v>
      </c>
      <c r="H1057" s="1521">
        <v>0</v>
      </c>
      <c r="I1057" s="1521">
        <v>0</v>
      </c>
      <c r="J1057" s="1538">
        <v>0</v>
      </c>
      <c r="K1057" s="1525"/>
      <c r="L1057" s="1519">
        <v>13089023412</v>
      </c>
      <c r="M1057" s="1520">
        <v>0</v>
      </c>
      <c r="N1057" s="1520">
        <v>0</v>
      </c>
      <c r="O1057" s="1520">
        <v>0</v>
      </c>
    </row>
    <row r="1058" spans="3:15" ht="13.5">
      <c r="C1058" s="1526" t="s">
        <v>5016</v>
      </c>
      <c r="D1058" s="1523">
        <v>0</v>
      </c>
      <c r="E1058" s="1523">
        <v>0</v>
      </c>
      <c r="F1058" s="1524">
        <v>0</v>
      </c>
      <c r="G1058" s="1537" t="s">
        <v>5016</v>
      </c>
      <c r="H1058" s="1521">
        <v>0</v>
      </c>
      <c r="I1058" s="1521">
        <v>1</v>
      </c>
      <c r="J1058" s="1538">
        <v>0</v>
      </c>
      <c r="K1058" s="1525"/>
      <c r="L1058" s="1519">
        <v>13089023413</v>
      </c>
      <c r="M1058" s="1520">
        <v>0</v>
      </c>
      <c r="N1058" s="1520">
        <v>1</v>
      </c>
      <c r="O1058" s="1520">
        <v>0</v>
      </c>
    </row>
    <row r="1059" spans="3:15" ht="13.5">
      <c r="C1059" s="1526" t="s">
        <v>5017</v>
      </c>
      <c r="D1059" s="1523">
        <v>0</v>
      </c>
      <c r="E1059" s="1523">
        <v>0</v>
      </c>
      <c r="F1059" s="1524">
        <v>0</v>
      </c>
      <c r="G1059" s="1537" t="s">
        <v>5017</v>
      </c>
      <c r="H1059" s="1521">
        <v>1</v>
      </c>
      <c r="I1059" s="1521">
        <v>1</v>
      </c>
      <c r="J1059" s="1538">
        <v>2</v>
      </c>
      <c r="K1059" s="1525"/>
      <c r="L1059" s="1519">
        <v>13089023414</v>
      </c>
      <c r="M1059" s="1520">
        <v>1</v>
      </c>
      <c r="N1059" s="1520">
        <v>1</v>
      </c>
      <c r="O1059" s="1520">
        <v>2</v>
      </c>
    </row>
    <row r="1060" spans="3:15" ht="13.5">
      <c r="C1060" s="1526" t="s">
        <v>5018</v>
      </c>
      <c r="D1060" s="1523">
        <v>0</v>
      </c>
      <c r="E1060" s="1523">
        <v>0</v>
      </c>
      <c r="F1060" s="1524">
        <v>0</v>
      </c>
      <c r="G1060" s="1537" t="s">
        <v>5018</v>
      </c>
      <c r="H1060" s="1521">
        <v>0</v>
      </c>
      <c r="I1060" s="1521">
        <v>1</v>
      </c>
      <c r="J1060" s="1538">
        <v>1</v>
      </c>
      <c r="K1060" s="1525"/>
      <c r="L1060" s="1519">
        <v>13089023416</v>
      </c>
      <c r="M1060" s="1520">
        <v>0</v>
      </c>
      <c r="N1060" s="1520">
        <v>1</v>
      </c>
      <c r="O1060" s="1520">
        <v>1</v>
      </c>
    </row>
    <row r="1061" spans="3:15" ht="13.5">
      <c r="C1061" s="1526" t="s">
        <v>5019</v>
      </c>
      <c r="D1061" s="1523">
        <v>0</v>
      </c>
      <c r="E1061" s="1523">
        <v>0</v>
      </c>
      <c r="F1061" s="1524">
        <v>0</v>
      </c>
      <c r="G1061" s="1537" t="s">
        <v>5019</v>
      </c>
      <c r="H1061" s="1521">
        <v>0</v>
      </c>
      <c r="I1061" s="1521">
        <v>0</v>
      </c>
      <c r="J1061" s="1538">
        <v>0</v>
      </c>
      <c r="K1061" s="1525"/>
      <c r="L1061" s="1519">
        <v>13089023418</v>
      </c>
      <c r="M1061" s="1520">
        <v>0</v>
      </c>
      <c r="N1061" s="1520">
        <v>0</v>
      </c>
      <c r="O1061" s="1520">
        <v>0</v>
      </c>
    </row>
    <row r="1062" spans="3:15" ht="13.5">
      <c r="C1062" s="1526" t="s">
        <v>5020</v>
      </c>
      <c r="D1062" s="1523">
        <v>0</v>
      </c>
      <c r="E1062" s="1523">
        <v>0</v>
      </c>
      <c r="F1062" s="1524">
        <v>0</v>
      </c>
      <c r="G1062" s="1537" t="s">
        <v>5020</v>
      </c>
      <c r="H1062" s="1521">
        <v>1</v>
      </c>
      <c r="I1062" s="1521">
        <v>1</v>
      </c>
      <c r="J1062" s="1538">
        <v>2</v>
      </c>
      <c r="K1062" s="1525"/>
      <c r="L1062" s="1519">
        <v>13089023419</v>
      </c>
      <c r="M1062" s="1520">
        <v>1</v>
      </c>
      <c r="N1062" s="1520">
        <v>1</v>
      </c>
      <c r="O1062" s="1520">
        <v>2</v>
      </c>
    </row>
    <row r="1063" spans="3:15" ht="13.5">
      <c r="C1063" s="1526" t="s">
        <v>5021</v>
      </c>
      <c r="D1063" s="1523">
        <v>0</v>
      </c>
      <c r="E1063" s="1523">
        <v>0</v>
      </c>
      <c r="F1063" s="1524">
        <v>0</v>
      </c>
      <c r="G1063" s="1537" t="s">
        <v>5021</v>
      </c>
      <c r="H1063" s="1521">
        <v>0</v>
      </c>
      <c r="I1063" s="1521">
        <v>0</v>
      </c>
      <c r="J1063" s="1538">
        <v>0</v>
      </c>
      <c r="K1063" s="1525"/>
      <c r="L1063" s="1519">
        <v>13089023421</v>
      </c>
      <c r="M1063" s="1520">
        <v>0</v>
      </c>
      <c r="N1063" s="1520">
        <v>0</v>
      </c>
      <c r="O1063" s="1520">
        <v>0</v>
      </c>
    </row>
    <row r="1064" spans="3:15" ht="13.5">
      <c r="C1064" s="1526" t="s">
        <v>5022</v>
      </c>
      <c r="D1064" s="1523">
        <v>0</v>
      </c>
      <c r="E1064" s="1523">
        <v>0</v>
      </c>
      <c r="F1064" s="1524">
        <v>0</v>
      </c>
      <c r="G1064" s="1537" t="s">
        <v>5022</v>
      </c>
      <c r="H1064" s="1521">
        <v>0</v>
      </c>
      <c r="I1064" s="1521">
        <v>0</v>
      </c>
      <c r="J1064" s="1538">
        <v>0</v>
      </c>
      <c r="K1064" s="1525"/>
      <c r="L1064" s="1519">
        <v>13089023422</v>
      </c>
      <c r="M1064" s="1520">
        <v>0</v>
      </c>
      <c r="N1064" s="1520">
        <v>0</v>
      </c>
      <c r="O1064" s="1520">
        <v>0</v>
      </c>
    </row>
    <row r="1065" spans="3:15" ht="13.5">
      <c r="C1065" s="1526" t="s">
        <v>5023</v>
      </c>
      <c r="D1065" s="1523">
        <v>0</v>
      </c>
      <c r="E1065" s="1523">
        <v>0</v>
      </c>
      <c r="F1065" s="1524">
        <v>0</v>
      </c>
      <c r="G1065" s="1537" t="s">
        <v>5023</v>
      </c>
      <c r="H1065" s="1521">
        <v>1</v>
      </c>
      <c r="I1065" s="1521">
        <v>0</v>
      </c>
      <c r="J1065" s="1538">
        <v>1</v>
      </c>
      <c r="K1065" s="1525"/>
      <c r="L1065" s="1519">
        <v>13089023423</v>
      </c>
      <c r="M1065" s="1520">
        <v>1</v>
      </c>
      <c r="N1065" s="1520">
        <v>0</v>
      </c>
      <c r="O1065" s="1520">
        <v>1</v>
      </c>
    </row>
    <row r="1066" spans="3:15" ht="13.5">
      <c r="C1066" s="1526" t="s">
        <v>5024</v>
      </c>
      <c r="D1066" s="1523">
        <v>0</v>
      </c>
      <c r="E1066" s="1523">
        <v>0</v>
      </c>
      <c r="F1066" s="1524">
        <v>0</v>
      </c>
      <c r="G1066" s="1537" t="s">
        <v>5024</v>
      </c>
      <c r="H1066" s="1521">
        <v>0</v>
      </c>
      <c r="I1066" s="1521">
        <v>1</v>
      </c>
      <c r="J1066" s="1538">
        <v>1</v>
      </c>
      <c r="K1066" s="1525"/>
      <c r="L1066" s="1519">
        <v>13089023424</v>
      </c>
      <c r="M1066" s="1520">
        <v>0</v>
      </c>
      <c r="N1066" s="1520">
        <v>1</v>
      </c>
      <c r="O1066" s="1520">
        <v>1</v>
      </c>
    </row>
    <row r="1067" spans="3:15" ht="13.5">
      <c r="C1067" s="1526" t="s">
        <v>5025</v>
      </c>
      <c r="D1067" s="1523">
        <v>0</v>
      </c>
      <c r="E1067" s="1523">
        <v>0</v>
      </c>
      <c r="F1067" s="1524">
        <v>0</v>
      </c>
      <c r="G1067" s="1537" t="s">
        <v>5025</v>
      </c>
      <c r="H1067" s="1521">
        <v>0</v>
      </c>
      <c r="I1067" s="1521">
        <v>1</v>
      </c>
      <c r="J1067" s="1538">
        <v>1</v>
      </c>
      <c r="K1067" s="1525"/>
      <c r="L1067" s="1519">
        <v>13089023425</v>
      </c>
      <c r="M1067" s="1520">
        <v>0</v>
      </c>
      <c r="N1067" s="1520">
        <v>1</v>
      </c>
      <c r="O1067" s="1520">
        <v>1</v>
      </c>
    </row>
    <row r="1068" spans="3:15" ht="13.5">
      <c r="C1068" s="1526" t="s">
        <v>5026</v>
      </c>
      <c r="D1068" s="1523">
        <v>1</v>
      </c>
      <c r="E1068" s="1523">
        <v>0</v>
      </c>
      <c r="F1068" s="1524">
        <v>1</v>
      </c>
      <c r="G1068" s="1537" t="s">
        <v>5026</v>
      </c>
      <c r="H1068" s="1521">
        <v>1</v>
      </c>
      <c r="I1068" s="1521">
        <v>1</v>
      </c>
      <c r="J1068" s="1538">
        <v>2</v>
      </c>
      <c r="K1068" s="1525"/>
      <c r="L1068" s="1519">
        <v>13089023426</v>
      </c>
      <c r="M1068" s="1520">
        <v>1</v>
      </c>
      <c r="N1068" s="1520">
        <v>1</v>
      </c>
      <c r="O1068" s="1520">
        <v>2</v>
      </c>
    </row>
    <row r="1069" spans="3:15" ht="13.5">
      <c r="C1069" s="1526" t="s">
        <v>5027</v>
      </c>
      <c r="D1069" s="1523">
        <v>1</v>
      </c>
      <c r="E1069" s="1523">
        <v>0</v>
      </c>
      <c r="F1069" s="1524">
        <v>1</v>
      </c>
      <c r="G1069" s="1537" t="s">
        <v>5027</v>
      </c>
      <c r="H1069" s="1521">
        <v>1</v>
      </c>
      <c r="I1069" s="1521">
        <v>0</v>
      </c>
      <c r="J1069" s="1538">
        <v>1</v>
      </c>
      <c r="K1069" s="1525"/>
      <c r="L1069" s="1519">
        <v>13089023427</v>
      </c>
      <c r="M1069" s="1520">
        <v>1</v>
      </c>
      <c r="N1069" s="1520">
        <v>0</v>
      </c>
      <c r="O1069" s="1520">
        <v>1</v>
      </c>
    </row>
    <row r="1070" spans="3:15" ht="13.5">
      <c r="C1070" s="1526" t="s">
        <v>5028</v>
      </c>
      <c r="D1070" s="1523">
        <v>0</v>
      </c>
      <c r="E1070" s="1523">
        <v>0</v>
      </c>
      <c r="F1070" s="1524">
        <v>0</v>
      </c>
      <c r="G1070" s="1537" t="s">
        <v>5028</v>
      </c>
      <c r="H1070" s="1521">
        <v>0</v>
      </c>
      <c r="I1070" s="1521">
        <v>0</v>
      </c>
      <c r="J1070" s="1538">
        <v>0</v>
      </c>
      <c r="K1070" s="1525"/>
      <c r="L1070" s="1519">
        <v>13089023428</v>
      </c>
      <c r="M1070" s="1520">
        <v>0</v>
      </c>
      <c r="N1070" s="1520">
        <v>0</v>
      </c>
      <c r="O1070" s="1520">
        <v>0</v>
      </c>
    </row>
    <row r="1071" spans="3:15" ht="13.5">
      <c r="C1071" s="1526" t="s">
        <v>5029</v>
      </c>
      <c r="D1071" s="1523">
        <v>0</v>
      </c>
      <c r="E1071" s="1523">
        <v>0</v>
      </c>
      <c r="F1071" s="1524">
        <v>0</v>
      </c>
      <c r="G1071" s="1537" t="s">
        <v>5029</v>
      </c>
      <c r="H1071" s="1521">
        <v>0</v>
      </c>
      <c r="I1071" s="1521">
        <v>0</v>
      </c>
      <c r="J1071" s="1538">
        <v>0</v>
      </c>
      <c r="K1071" s="1525"/>
      <c r="L1071" s="1519">
        <v>13089023501</v>
      </c>
      <c r="M1071" s="1520">
        <v>0</v>
      </c>
      <c r="N1071" s="1520">
        <v>0</v>
      </c>
      <c r="O1071" s="1520">
        <v>0</v>
      </c>
    </row>
    <row r="1072" spans="3:15" ht="13.5">
      <c r="C1072" s="1526" t="s">
        <v>5030</v>
      </c>
      <c r="D1072" s="1523">
        <v>0</v>
      </c>
      <c r="E1072" s="1523">
        <v>0</v>
      </c>
      <c r="F1072" s="1524">
        <v>0</v>
      </c>
      <c r="G1072" s="1537" t="s">
        <v>5030</v>
      </c>
      <c r="H1072" s="1521">
        <v>0</v>
      </c>
      <c r="I1072" s="1521">
        <v>0</v>
      </c>
      <c r="J1072" s="1538">
        <v>0</v>
      </c>
      <c r="K1072" s="1525"/>
      <c r="L1072" s="1519">
        <v>13089023504</v>
      </c>
      <c r="M1072" s="1520">
        <v>0</v>
      </c>
      <c r="N1072" s="1520">
        <v>0</v>
      </c>
      <c r="O1072" s="1520">
        <v>0</v>
      </c>
    </row>
    <row r="1073" spans="3:15" ht="13.5">
      <c r="C1073" s="1526" t="s">
        <v>5031</v>
      </c>
      <c r="D1073" s="1523">
        <v>0</v>
      </c>
      <c r="E1073" s="1523">
        <v>0</v>
      </c>
      <c r="F1073" s="1524">
        <v>0</v>
      </c>
      <c r="G1073" s="1537" t="s">
        <v>5031</v>
      </c>
      <c r="H1073" s="1521">
        <v>0</v>
      </c>
      <c r="I1073" s="1521">
        <v>0</v>
      </c>
      <c r="J1073" s="1538">
        <v>0</v>
      </c>
      <c r="K1073" s="1525"/>
      <c r="L1073" s="1519">
        <v>13089023505</v>
      </c>
      <c r="M1073" s="1520">
        <v>0</v>
      </c>
      <c r="N1073" s="1520">
        <v>0</v>
      </c>
      <c r="O1073" s="1520">
        <v>0</v>
      </c>
    </row>
    <row r="1074" spans="3:15" ht="13.5">
      <c r="C1074" s="1526" t="s">
        <v>5032</v>
      </c>
      <c r="D1074" s="1523">
        <v>0</v>
      </c>
      <c r="E1074" s="1523">
        <v>0</v>
      </c>
      <c r="F1074" s="1524">
        <v>0</v>
      </c>
      <c r="G1074" s="1537" t="s">
        <v>5032</v>
      </c>
      <c r="H1074" s="1521">
        <v>0</v>
      </c>
      <c r="I1074" s="1521">
        <v>0</v>
      </c>
      <c r="J1074" s="1538">
        <v>0</v>
      </c>
      <c r="K1074" s="1525"/>
      <c r="L1074" s="1519">
        <v>13089023506</v>
      </c>
      <c r="M1074" s="1520">
        <v>0</v>
      </c>
      <c r="N1074" s="1520">
        <v>0</v>
      </c>
      <c r="O1074" s="1520">
        <v>0</v>
      </c>
    </row>
    <row r="1075" spans="3:15" ht="13.5">
      <c r="C1075" s="1526" t="s">
        <v>5033</v>
      </c>
      <c r="D1075" s="1523">
        <v>0</v>
      </c>
      <c r="E1075" s="1523">
        <v>0</v>
      </c>
      <c r="F1075" s="1524">
        <v>0</v>
      </c>
      <c r="G1075" s="1537" t="s">
        <v>5033</v>
      </c>
      <c r="H1075" s="1521">
        <v>0</v>
      </c>
      <c r="I1075" s="1521">
        <v>1</v>
      </c>
      <c r="J1075" s="1538">
        <v>1</v>
      </c>
      <c r="K1075" s="1525"/>
      <c r="L1075" s="1519">
        <v>13089023507</v>
      </c>
      <c r="M1075" s="1520">
        <v>0</v>
      </c>
      <c r="N1075" s="1520">
        <v>1</v>
      </c>
      <c r="O1075" s="1520">
        <v>1</v>
      </c>
    </row>
    <row r="1076" spans="3:15" ht="13.5">
      <c r="C1076" s="1526" t="s">
        <v>5034</v>
      </c>
      <c r="D1076" s="1523">
        <v>0</v>
      </c>
      <c r="E1076" s="1523">
        <v>0</v>
      </c>
      <c r="F1076" s="1524">
        <v>0</v>
      </c>
      <c r="G1076" s="1537" t="s">
        <v>5034</v>
      </c>
      <c r="H1076" s="1521">
        <v>0</v>
      </c>
      <c r="I1076" s="1521">
        <v>0</v>
      </c>
      <c r="J1076" s="1538">
        <v>0</v>
      </c>
      <c r="K1076" s="1525"/>
      <c r="L1076" s="1519">
        <v>13089023601</v>
      </c>
      <c r="M1076" s="1520">
        <v>0</v>
      </c>
      <c r="N1076" s="1520">
        <v>0</v>
      </c>
      <c r="O1076" s="1520">
        <v>0</v>
      </c>
    </row>
    <row r="1077" spans="3:15" ht="13.5">
      <c r="C1077" s="1526" t="s">
        <v>5035</v>
      </c>
      <c r="D1077" s="1523">
        <v>0</v>
      </c>
      <c r="E1077" s="1523">
        <v>0</v>
      </c>
      <c r="F1077" s="1524">
        <v>0</v>
      </c>
      <c r="G1077" s="1537" t="s">
        <v>5035</v>
      </c>
      <c r="H1077" s="1521">
        <v>0</v>
      </c>
      <c r="I1077" s="1521">
        <v>0</v>
      </c>
      <c r="J1077" s="1538">
        <v>0</v>
      </c>
      <c r="K1077" s="1525"/>
      <c r="L1077" s="1519">
        <v>13089023602</v>
      </c>
      <c r="M1077" s="1520">
        <v>0</v>
      </c>
      <c r="N1077" s="1520">
        <v>0</v>
      </c>
      <c r="O1077" s="1520">
        <v>0</v>
      </c>
    </row>
    <row r="1078" spans="3:15" ht="13.5">
      <c r="C1078" s="1526" t="s">
        <v>5036</v>
      </c>
      <c r="D1078" s="1523">
        <v>0</v>
      </c>
      <c r="E1078" s="1523">
        <v>0</v>
      </c>
      <c r="F1078" s="1524">
        <v>0</v>
      </c>
      <c r="G1078" s="1537" t="s">
        <v>5036</v>
      </c>
      <c r="H1078" s="1521">
        <v>0</v>
      </c>
      <c r="I1078" s="1521">
        <v>0</v>
      </c>
      <c r="J1078" s="1538">
        <v>0</v>
      </c>
      <c r="K1078" s="1525"/>
      <c r="L1078" s="1519">
        <v>13089023603</v>
      </c>
      <c r="M1078" s="1520">
        <v>0</v>
      </c>
      <c r="N1078" s="1520">
        <v>0</v>
      </c>
      <c r="O1078" s="1520">
        <v>0</v>
      </c>
    </row>
    <row r="1079" spans="3:15" ht="13.5">
      <c r="C1079" s="1526" t="s">
        <v>5037</v>
      </c>
      <c r="D1079" s="1523">
        <v>0</v>
      </c>
      <c r="E1079" s="1523">
        <v>0</v>
      </c>
      <c r="F1079" s="1524">
        <v>0</v>
      </c>
      <c r="G1079" s="1537" t="s">
        <v>5037</v>
      </c>
      <c r="H1079" s="1521">
        <v>0</v>
      </c>
      <c r="I1079" s="1521" t="s">
        <v>4096</v>
      </c>
      <c r="J1079" s="1538">
        <v>0</v>
      </c>
      <c r="K1079" s="1525"/>
      <c r="L1079" s="1519">
        <v>13089023700</v>
      </c>
      <c r="M1079" s="1520">
        <v>0</v>
      </c>
      <c r="N1079" s="1520">
        <v>0</v>
      </c>
      <c r="O1079" s="1520">
        <v>0</v>
      </c>
    </row>
    <row r="1080" spans="3:15" ht="13.5">
      <c r="C1080" s="1526" t="s">
        <v>5038</v>
      </c>
      <c r="D1080" s="1523">
        <v>1</v>
      </c>
      <c r="E1080" s="1523">
        <v>0</v>
      </c>
      <c r="F1080" s="1524">
        <v>1</v>
      </c>
      <c r="G1080" s="1537" t="s">
        <v>5038</v>
      </c>
      <c r="H1080" s="1521">
        <v>1</v>
      </c>
      <c r="I1080" s="1521">
        <v>0</v>
      </c>
      <c r="J1080" s="1538">
        <v>1</v>
      </c>
      <c r="K1080" s="1525"/>
      <c r="L1080" s="1519">
        <v>13089023801</v>
      </c>
      <c r="M1080" s="1520">
        <v>1</v>
      </c>
      <c r="N1080" s="1520">
        <v>0</v>
      </c>
      <c r="O1080" s="1520">
        <v>1</v>
      </c>
    </row>
    <row r="1081" spans="3:15" ht="13.5">
      <c r="C1081" s="1526" t="s">
        <v>5039</v>
      </c>
      <c r="D1081" s="1523">
        <v>0</v>
      </c>
      <c r="E1081" s="1523">
        <v>0</v>
      </c>
      <c r="F1081" s="1524">
        <v>0</v>
      </c>
      <c r="G1081" s="1537" t="s">
        <v>5039</v>
      </c>
      <c r="H1081" s="1521">
        <v>0</v>
      </c>
      <c r="I1081" s="1521">
        <v>0</v>
      </c>
      <c r="J1081" s="1538">
        <v>0</v>
      </c>
      <c r="K1081" s="1525"/>
      <c r="L1081" s="1519">
        <v>13089023802</v>
      </c>
      <c r="M1081" s="1520">
        <v>0</v>
      </c>
      <c r="N1081" s="1520">
        <v>0</v>
      </c>
      <c r="O1081" s="1520">
        <v>0</v>
      </c>
    </row>
    <row r="1082" spans="3:15" ht="13.5">
      <c r="C1082" s="1526" t="s">
        <v>5040</v>
      </c>
      <c r="D1082" s="1523">
        <v>0</v>
      </c>
      <c r="E1082" s="1523">
        <v>0</v>
      </c>
      <c r="F1082" s="1524">
        <v>0</v>
      </c>
      <c r="G1082" s="1537" t="s">
        <v>5040</v>
      </c>
      <c r="H1082" s="1521">
        <v>0</v>
      </c>
      <c r="I1082" s="1521">
        <v>0</v>
      </c>
      <c r="J1082" s="1538">
        <v>0</v>
      </c>
      <c r="K1082" s="1525"/>
      <c r="L1082" s="1519">
        <v>13089023803</v>
      </c>
      <c r="M1082" s="1520">
        <v>0</v>
      </c>
      <c r="N1082" s="1520">
        <v>0</v>
      </c>
      <c r="O1082" s="1520">
        <v>0</v>
      </c>
    </row>
    <row r="1083" spans="3:15" ht="13.5">
      <c r="C1083" s="1526" t="s">
        <v>5041</v>
      </c>
      <c r="D1083" s="1523" t="s">
        <v>4096</v>
      </c>
      <c r="E1083" s="1523" t="s">
        <v>4096</v>
      </c>
      <c r="F1083" s="1524">
        <v>0</v>
      </c>
      <c r="G1083" s="1537" t="s">
        <v>5041</v>
      </c>
      <c r="H1083" s="1521" t="s">
        <v>4096</v>
      </c>
      <c r="I1083" s="1521" t="s">
        <v>4096</v>
      </c>
      <c r="J1083" s="1538">
        <v>0</v>
      </c>
      <c r="K1083" s="1525"/>
      <c r="L1083" s="1519">
        <v>13089980000</v>
      </c>
      <c r="M1083" s="1520">
        <v>0</v>
      </c>
      <c r="N1083" s="1520">
        <v>0</v>
      </c>
      <c r="O1083" s="1520">
        <v>0</v>
      </c>
    </row>
    <row r="1084" spans="3:15" ht="13.5">
      <c r="C1084" s="1526" t="s">
        <v>5042</v>
      </c>
      <c r="D1084" s="1523">
        <v>0</v>
      </c>
      <c r="E1084" s="1523">
        <v>0</v>
      </c>
      <c r="F1084" s="1524">
        <v>0</v>
      </c>
      <c r="G1084" s="1537" t="s">
        <v>5042</v>
      </c>
      <c r="H1084" s="1521">
        <v>0</v>
      </c>
      <c r="I1084" s="1521">
        <v>1</v>
      </c>
      <c r="J1084" s="1538">
        <v>1</v>
      </c>
      <c r="K1084" s="1525"/>
      <c r="L1084" s="1519">
        <v>13091960100</v>
      </c>
      <c r="M1084" s="1520">
        <v>0</v>
      </c>
      <c r="N1084" s="1520">
        <v>1</v>
      </c>
      <c r="O1084" s="1520">
        <v>1</v>
      </c>
    </row>
    <row r="1085" spans="3:15" ht="13.5">
      <c r="C1085" s="1526" t="s">
        <v>5043</v>
      </c>
      <c r="D1085" s="1523">
        <v>0</v>
      </c>
      <c r="E1085" s="1523">
        <v>0</v>
      </c>
      <c r="F1085" s="1524">
        <v>0</v>
      </c>
      <c r="G1085" s="1537" t="s">
        <v>5043</v>
      </c>
      <c r="H1085" s="1521">
        <v>0</v>
      </c>
      <c r="I1085" s="1521">
        <v>0</v>
      </c>
      <c r="J1085" s="1538">
        <v>0</v>
      </c>
      <c r="K1085" s="1525"/>
      <c r="L1085" s="1519">
        <v>13091960200</v>
      </c>
      <c r="M1085" s="1520">
        <v>0</v>
      </c>
      <c r="N1085" s="1520">
        <v>0</v>
      </c>
      <c r="O1085" s="1520">
        <v>0</v>
      </c>
    </row>
    <row r="1086" spans="3:15" ht="13.5">
      <c r="C1086" s="1526" t="s">
        <v>5044</v>
      </c>
      <c r="D1086" s="1523">
        <v>0</v>
      </c>
      <c r="E1086" s="1523">
        <v>1</v>
      </c>
      <c r="F1086" s="1524">
        <v>1</v>
      </c>
      <c r="G1086" s="1537" t="s">
        <v>5044</v>
      </c>
      <c r="H1086" s="1521">
        <v>0</v>
      </c>
      <c r="I1086" s="1521">
        <v>1</v>
      </c>
      <c r="J1086" s="1538">
        <v>1</v>
      </c>
      <c r="K1086" s="1525"/>
      <c r="L1086" s="1519">
        <v>13091960300</v>
      </c>
      <c r="M1086" s="1520">
        <v>0</v>
      </c>
      <c r="N1086" s="1520">
        <v>1</v>
      </c>
      <c r="O1086" s="1520">
        <v>1</v>
      </c>
    </row>
    <row r="1087" spans="3:15" ht="13.5">
      <c r="C1087" s="1526" t="s">
        <v>5045</v>
      </c>
      <c r="D1087" s="1523">
        <v>0</v>
      </c>
      <c r="E1087" s="1523">
        <v>0</v>
      </c>
      <c r="F1087" s="1524">
        <v>0</v>
      </c>
      <c r="G1087" s="1537" t="s">
        <v>5045</v>
      </c>
      <c r="H1087" s="1521">
        <v>0</v>
      </c>
      <c r="I1087" s="1521">
        <v>0</v>
      </c>
      <c r="J1087" s="1538">
        <v>0</v>
      </c>
      <c r="K1087" s="1525"/>
      <c r="L1087" s="1519">
        <v>13091960400</v>
      </c>
      <c r="M1087" s="1520">
        <v>0</v>
      </c>
      <c r="N1087" s="1520">
        <v>0</v>
      </c>
      <c r="O1087" s="1520">
        <v>0</v>
      </c>
    </row>
    <row r="1088" spans="3:15" ht="13.5">
      <c r="C1088" s="1526" t="s">
        <v>5046</v>
      </c>
      <c r="D1088" s="1523">
        <v>0</v>
      </c>
      <c r="E1088" s="1523">
        <v>0</v>
      </c>
      <c r="F1088" s="1524">
        <v>0</v>
      </c>
      <c r="G1088" s="1537" t="s">
        <v>5046</v>
      </c>
      <c r="H1088" s="1521">
        <v>0</v>
      </c>
      <c r="I1088" s="1521" t="s">
        <v>4096</v>
      </c>
      <c r="J1088" s="1538">
        <v>0</v>
      </c>
      <c r="K1088" s="1525"/>
      <c r="L1088" s="1519">
        <v>13091960500</v>
      </c>
      <c r="M1088" s="1520">
        <v>0</v>
      </c>
      <c r="N1088" s="1520">
        <v>0</v>
      </c>
      <c r="O1088" s="1520">
        <v>0</v>
      </c>
    </row>
    <row r="1089" spans="3:15" ht="13.5">
      <c r="C1089" s="1526" t="s">
        <v>5047</v>
      </c>
      <c r="D1089" s="1523">
        <v>0</v>
      </c>
      <c r="E1089" s="1523">
        <v>0</v>
      </c>
      <c r="F1089" s="1524">
        <v>0</v>
      </c>
      <c r="G1089" s="1537" t="s">
        <v>5047</v>
      </c>
      <c r="H1089" s="1521">
        <v>0</v>
      </c>
      <c r="I1089" s="1521">
        <v>0</v>
      </c>
      <c r="J1089" s="1538">
        <v>0</v>
      </c>
      <c r="K1089" s="1525"/>
      <c r="L1089" s="1519">
        <v>13091960600</v>
      </c>
      <c r="M1089" s="1520">
        <v>0</v>
      </c>
      <c r="N1089" s="1520">
        <v>0</v>
      </c>
      <c r="O1089" s="1520">
        <v>0</v>
      </c>
    </row>
    <row r="1090" spans="3:15" ht="13.5">
      <c r="C1090" s="1526" t="s">
        <v>5048</v>
      </c>
      <c r="D1090" s="1523">
        <v>0</v>
      </c>
      <c r="E1090" s="1523">
        <v>0</v>
      </c>
      <c r="F1090" s="1524">
        <v>0</v>
      </c>
      <c r="G1090" s="1537" t="s">
        <v>5048</v>
      </c>
      <c r="H1090" s="1521">
        <v>0</v>
      </c>
      <c r="I1090" s="1521">
        <v>1</v>
      </c>
      <c r="J1090" s="1538">
        <v>1</v>
      </c>
      <c r="K1090" s="1525"/>
      <c r="L1090" s="1519">
        <v>13093970100</v>
      </c>
      <c r="M1090" s="1520">
        <v>0</v>
      </c>
      <c r="N1090" s="1520">
        <v>1</v>
      </c>
      <c r="O1090" s="1520">
        <v>1</v>
      </c>
    </row>
    <row r="1091" spans="3:15" ht="13.5">
      <c r="C1091" s="1526" t="s">
        <v>5049</v>
      </c>
      <c r="D1091" s="1523">
        <v>0</v>
      </c>
      <c r="E1091" s="1523">
        <v>0</v>
      </c>
      <c r="F1091" s="1524">
        <v>0</v>
      </c>
      <c r="G1091" s="1537" t="s">
        <v>5049</v>
      </c>
      <c r="H1091" s="1521">
        <v>0</v>
      </c>
      <c r="I1091" s="1521">
        <v>0</v>
      </c>
      <c r="J1091" s="1538">
        <v>0</v>
      </c>
      <c r="K1091" s="1525"/>
      <c r="L1091" s="1519">
        <v>13093970200</v>
      </c>
      <c r="M1091" s="1520">
        <v>0</v>
      </c>
      <c r="N1091" s="1520">
        <v>0</v>
      </c>
      <c r="O1091" s="1520">
        <v>0</v>
      </c>
    </row>
    <row r="1092" spans="3:15" ht="13.5">
      <c r="C1092" s="1526" t="s">
        <v>5050</v>
      </c>
      <c r="D1092" s="1523">
        <v>0</v>
      </c>
      <c r="E1092" s="1523">
        <v>0</v>
      </c>
      <c r="F1092" s="1524">
        <v>0</v>
      </c>
      <c r="G1092" s="1537" t="s">
        <v>5050</v>
      </c>
      <c r="H1092" s="1521">
        <v>0</v>
      </c>
      <c r="I1092" s="1521">
        <v>1</v>
      </c>
      <c r="J1092" s="1538">
        <v>1</v>
      </c>
      <c r="K1092" s="1525"/>
      <c r="L1092" s="1519">
        <v>13093970300</v>
      </c>
      <c r="M1092" s="1520">
        <v>0</v>
      </c>
      <c r="N1092" s="1520">
        <v>1</v>
      </c>
      <c r="O1092" s="1520">
        <v>1</v>
      </c>
    </row>
    <row r="1093" spans="3:15" ht="13.5">
      <c r="C1093" s="1526" t="s">
        <v>5051</v>
      </c>
      <c r="D1093" s="1523">
        <v>0</v>
      </c>
      <c r="E1093" s="1523">
        <v>0</v>
      </c>
      <c r="F1093" s="1524">
        <v>0</v>
      </c>
      <c r="G1093" s="1537" t="s">
        <v>5051</v>
      </c>
      <c r="H1093" s="1521">
        <v>0</v>
      </c>
      <c r="I1093" s="1521">
        <v>0</v>
      </c>
      <c r="J1093" s="1538">
        <v>0</v>
      </c>
      <c r="K1093" s="1525"/>
      <c r="L1093" s="1519">
        <v>13095000100</v>
      </c>
      <c r="M1093" s="1520">
        <v>0</v>
      </c>
      <c r="N1093" s="1520">
        <v>0</v>
      </c>
      <c r="O1093" s="1520">
        <v>0</v>
      </c>
    </row>
    <row r="1094" spans="3:15" ht="13.5">
      <c r="C1094" s="1526" t="s">
        <v>5052</v>
      </c>
      <c r="D1094" s="1523">
        <v>0</v>
      </c>
      <c r="E1094" s="1523">
        <v>0</v>
      </c>
      <c r="F1094" s="1524">
        <v>0</v>
      </c>
      <c r="G1094" s="1537" t="s">
        <v>5052</v>
      </c>
      <c r="H1094" s="1521">
        <v>0</v>
      </c>
      <c r="I1094" s="1521">
        <v>0</v>
      </c>
      <c r="J1094" s="1538">
        <v>0</v>
      </c>
      <c r="K1094" s="1525"/>
      <c r="L1094" s="1519">
        <v>13095000200</v>
      </c>
      <c r="M1094" s="1520">
        <v>0</v>
      </c>
      <c r="N1094" s="1520">
        <v>0</v>
      </c>
      <c r="O1094" s="1520">
        <v>0</v>
      </c>
    </row>
    <row r="1095" spans="3:15" ht="13.5">
      <c r="C1095" s="1526" t="s">
        <v>5053</v>
      </c>
      <c r="D1095" s="1523">
        <v>0</v>
      </c>
      <c r="E1095" s="1523">
        <v>0</v>
      </c>
      <c r="F1095" s="1524">
        <v>0</v>
      </c>
      <c r="G1095" s="1537" t="s">
        <v>5053</v>
      </c>
      <c r="H1095" s="1521">
        <v>0</v>
      </c>
      <c r="I1095" s="1521">
        <v>1</v>
      </c>
      <c r="J1095" s="1538">
        <v>1</v>
      </c>
      <c r="K1095" s="1525"/>
      <c r="L1095" s="1519">
        <v>13095000400</v>
      </c>
      <c r="M1095" s="1520">
        <v>0</v>
      </c>
      <c r="N1095" s="1520">
        <v>1</v>
      </c>
      <c r="O1095" s="1520">
        <v>1</v>
      </c>
    </row>
    <row r="1096" spans="3:15" ht="13.5">
      <c r="C1096" s="1526" t="s">
        <v>5054</v>
      </c>
      <c r="D1096" s="1523">
        <v>1</v>
      </c>
      <c r="E1096" s="1523">
        <v>0</v>
      </c>
      <c r="F1096" s="1524">
        <v>1</v>
      </c>
      <c r="G1096" s="1537" t="s">
        <v>5054</v>
      </c>
      <c r="H1096" s="1521">
        <v>1</v>
      </c>
      <c r="I1096" s="1521">
        <v>1</v>
      </c>
      <c r="J1096" s="1538">
        <v>2</v>
      </c>
      <c r="K1096" s="1525"/>
      <c r="L1096" s="1519">
        <v>13095000501</v>
      </c>
      <c r="M1096" s="1520">
        <v>1</v>
      </c>
      <c r="N1096" s="1520">
        <v>1</v>
      </c>
      <c r="O1096" s="1520">
        <v>2</v>
      </c>
    </row>
    <row r="1097" spans="3:15" ht="13.5">
      <c r="C1097" s="1526" t="s">
        <v>5055</v>
      </c>
      <c r="D1097" s="1523">
        <v>1</v>
      </c>
      <c r="E1097" s="1523">
        <v>1</v>
      </c>
      <c r="F1097" s="1524">
        <v>2</v>
      </c>
      <c r="G1097" s="1537" t="s">
        <v>5055</v>
      </c>
      <c r="H1097" s="1521">
        <v>1</v>
      </c>
      <c r="I1097" s="1521">
        <v>1</v>
      </c>
      <c r="J1097" s="1538">
        <v>2</v>
      </c>
      <c r="K1097" s="1525"/>
      <c r="L1097" s="1519">
        <v>13095000502</v>
      </c>
      <c r="M1097" s="1520">
        <v>1</v>
      </c>
      <c r="N1097" s="1520">
        <v>1</v>
      </c>
      <c r="O1097" s="1520">
        <v>2</v>
      </c>
    </row>
    <row r="1098" spans="3:15" ht="13.5">
      <c r="C1098" s="1526" t="s">
        <v>5056</v>
      </c>
      <c r="D1098" s="1523">
        <v>0</v>
      </c>
      <c r="E1098" s="1523">
        <v>0</v>
      </c>
      <c r="F1098" s="1524">
        <v>0</v>
      </c>
      <c r="G1098" s="1537" t="s">
        <v>5056</v>
      </c>
      <c r="H1098" s="1521">
        <v>0</v>
      </c>
      <c r="I1098" s="1521">
        <v>0</v>
      </c>
      <c r="J1098" s="1538">
        <v>0</v>
      </c>
      <c r="K1098" s="1525"/>
      <c r="L1098" s="1519">
        <v>13095000600</v>
      </c>
      <c r="M1098" s="1520">
        <v>0</v>
      </c>
      <c r="N1098" s="1520">
        <v>0</v>
      </c>
      <c r="O1098" s="1520">
        <v>0</v>
      </c>
    </row>
    <row r="1099" spans="3:15" ht="13.5">
      <c r="C1099" s="1526" t="s">
        <v>5057</v>
      </c>
      <c r="D1099" s="1523">
        <v>0</v>
      </c>
      <c r="E1099" s="1523">
        <v>0</v>
      </c>
      <c r="F1099" s="1524">
        <v>0</v>
      </c>
      <c r="G1099" s="1537" t="s">
        <v>5057</v>
      </c>
      <c r="H1099" s="1521">
        <v>1</v>
      </c>
      <c r="I1099" s="1521">
        <v>0</v>
      </c>
      <c r="J1099" s="1538">
        <v>1</v>
      </c>
      <c r="K1099" s="1525"/>
      <c r="L1099" s="1519">
        <v>13095000700</v>
      </c>
      <c r="M1099" s="1520">
        <v>1</v>
      </c>
      <c r="N1099" s="1520">
        <v>0</v>
      </c>
      <c r="O1099" s="1520">
        <v>1</v>
      </c>
    </row>
    <row r="1100" spans="3:15" ht="13.5">
      <c r="C1100" s="1526" t="s">
        <v>5058</v>
      </c>
      <c r="D1100" s="1523">
        <v>0</v>
      </c>
      <c r="E1100" s="1523">
        <v>0</v>
      </c>
      <c r="F1100" s="1524">
        <v>0</v>
      </c>
      <c r="G1100" s="1537" t="s">
        <v>5058</v>
      </c>
      <c r="H1100" s="1521">
        <v>0</v>
      </c>
      <c r="I1100" s="1521">
        <v>0</v>
      </c>
      <c r="J1100" s="1538">
        <v>0</v>
      </c>
      <c r="K1100" s="1525"/>
      <c r="L1100" s="1519">
        <v>13095000800</v>
      </c>
      <c r="M1100" s="1520">
        <v>0</v>
      </c>
      <c r="N1100" s="1520">
        <v>0</v>
      </c>
      <c r="O1100" s="1520">
        <v>0</v>
      </c>
    </row>
    <row r="1101" spans="3:15" ht="13.5">
      <c r="C1101" s="1526" t="s">
        <v>5059</v>
      </c>
      <c r="D1101" s="1523">
        <v>0</v>
      </c>
      <c r="E1101" s="1523">
        <v>0</v>
      </c>
      <c r="F1101" s="1524">
        <v>0</v>
      </c>
      <c r="G1101" s="1537" t="s">
        <v>5059</v>
      </c>
      <c r="H1101" s="1521">
        <v>0</v>
      </c>
      <c r="I1101" s="1521">
        <v>0</v>
      </c>
      <c r="J1101" s="1538">
        <v>0</v>
      </c>
      <c r="K1101" s="1525"/>
      <c r="L1101" s="1519">
        <v>13095000900</v>
      </c>
      <c r="M1101" s="1520">
        <v>0</v>
      </c>
      <c r="N1101" s="1520">
        <v>0</v>
      </c>
      <c r="O1101" s="1520">
        <v>0</v>
      </c>
    </row>
    <row r="1102" spans="3:15" ht="13.5">
      <c r="C1102" s="1526" t="s">
        <v>5060</v>
      </c>
      <c r="D1102" s="1523">
        <v>0</v>
      </c>
      <c r="E1102" s="1523">
        <v>0</v>
      </c>
      <c r="F1102" s="1524">
        <v>0</v>
      </c>
      <c r="G1102" s="1537" t="s">
        <v>5060</v>
      </c>
      <c r="H1102" s="1521">
        <v>0</v>
      </c>
      <c r="I1102" s="1521">
        <v>0</v>
      </c>
      <c r="J1102" s="1538">
        <v>0</v>
      </c>
      <c r="K1102" s="1525"/>
      <c r="L1102" s="1519">
        <v>13095001000</v>
      </c>
      <c r="M1102" s="1520">
        <v>0</v>
      </c>
      <c r="N1102" s="1520">
        <v>0</v>
      </c>
      <c r="O1102" s="1520">
        <v>0</v>
      </c>
    </row>
    <row r="1103" spans="3:15" ht="13.5">
      <c r="C1103" s="1526" t="s">
        <v>5061</v>
      </c>
      <c r="D1103" s="1523">
        <v>0</v>
      </c>
      <c r="E1103" s="1523">
        <v>0</v>
      </c>
      <c r="F1103" s="1524">
        <v>0</v>
      </c>
      <c r="G1103" s="1537" t="s">
        <v>5061</v>
      </c>
      <c r="H1103" s="1521">
        <v>0</v>
      </c>
      <c r="I1103" s="1521">
        <v>0</v>
      </c>
      <c r="J1103" s="1538">
        <v>0</v>
      </c>
      <c r="K1103" s="1525"/>
      <c r="L1103" s="1519">
        <v>13095001100</v>
      </c>
      <c r="M1103" s="1520">
        <v>0</v>
      </c>
      <c r="N1103" s="1520">
        <v>0</v>
      </c>
      <c r="O1103" s="1520">
        <v>0</v>
      </c>
    </row>
    <row r="1104" spans="3:15" ht="13.5">
      <c r="C1104" s="1526" t="s">
        <v>5062</v>
      </c>
      <c r="D1104" s="1523">
        <v>0</v>
      </c>
      <c r="E1104" s="1523">
        <v>0</v>
      </c>
      <c r="F1104" s="1524">
        <v>0</v>
      </c>
      <c r="G1104" s="1537" t="s">
        <v>5062</v>
      </c>
      <c r="H1104" s="1521">
        <v>0</v>
      </c>
      <c r="I1104" s="1521" t="s">
        <v>4096</v>
      </c>
      <c r="J1104" s="1538">
        <v>0</v>
      </c>
      <c r="K1104" s="1525"/>
      <c r="L1104" s="1519">
        <v>13095001403</v>
      </c>
      <c r="M1104" s="1520">
        <v>0</v>
      </c>
      <c r="N1104" s="1520">
        <v>0</v>
      </c>
      <c r="O1104" s="1520">
        <v>0</v>
      </c>
    </row>
    <row r="1105" spans="3:15" ht="13.5">
      <c r="C1105" s="1526" t="s">
        <v>5063</v>
      </c>
      <c r="D1105" s="1523">
        <v>0</v>
      </c>
      <c r="E1105" s="1523">
        <v>0</v>
      </c>
      <c r="F1105" s="1524">
        <v>0</v>
      </c>
      <c r="G1105" s="1537" t="s">
        <v>5063</v>
      </c>
      <c r="H1105" s="1521">
        <v>0</v>
      </c>
      <c r="I1105" s="1521">
        <v>0</v>
      </c>
      <c r="J1105" s="1538">
        <v>0</v>
      </c>
      <c r="K1105" s="1525"/>
      <c r="L1105" s="1519">
        <v>13095001500</v>
      </c>
      <c r="M1105" s="1520">
        <v>0</v>
      </c>
      <c r="N1105" s="1520">
        <v>0</v>
      </c>
      <c r="O1105" s="1520">
        <v>0</v>
      </c>
    </row>
    <row r="1106" spans="3:15" ht="13.5">
      <c r="C1106" s="1526" t="s">
        <v>5064</v>
      </c>
      <c r="D1106" s="1523">
        <v>0</v>
      </c>
      <c r="E1106" s="1523">
        <v>0</v>
      </c>
      <c r="F1106" s="1524">
        <v>0</v>
      </c>
      <c r="G1106" s="1537" t="s">
        <v>5064</v>
      </c>
      <c r="H1106" s="1521">
        <v>0</v>
      </c>
      <c r="I1106" s="1521">
        <v>0</v>
      </c>
      <c r="J1106" s="1538">
        <v>0</v>
      </c>
      <c r="K1106" s="1525"/>
      <c r="L1106" s="1519">
        <v>13095010302</v>
      </c>
      <c r="M1106" s="1520">
        <v>0</v>
      </c>
      <c r="N1106" s="1520">
        <v>0</v>
      </c>
      <c r="O1106" s="1520">
        <v>0</v>
      </c>
    </row>
    <row r="1107" spans="3:15" ht="13.5">
      <c r="C1107" s="1526" t="s">
        <v>5065</v>
      </c>
      <c r="D1107" s="1523">
        <v>1</v>
      </c>
      <c r="E1107" s="1523">
        <v>1</v>
      </c>
      <c r="F1107" s="1524">
        <v>2</v>
      </c>
      <c r="G1107" s="1537" t="s">
        <v>5065</v>
      </c>
      <c r="H1107" s="1521">
        <v>1</v>
      </c>
      <c r="I1107" s="1521">
        <v>1</v>
      </c>
      <c r="J1107" s="1538">
        <v>2</v>
      </c>
      <c r="K1107" s="1525"/>
      <c r="L1107" s="1519">
        <v>13095010401</v>
      </c>
      <c r="M1107" s="1520">
        <v>1</v>
      </c>
      <c r="N1107" s="1520">
        <v>1</v>
      </c>
      <c r="O1107" s="1520">
        <v>2</v>
      </c>
    </row>
    <row r="1108" spans="3:15" ht="13.5">
      <c r="C1108" s="1526" t="s">
        <v>5066</v>
      </c>
      <c r="D1108" s="1523">
        <v>0</v>
      </c>
      <c r="E1108" s="1523">
        <v>0</v>
      </c>
      <c r="F1108" s="1524">
        <v>0</v>
      </c>
      <c r="G1108" s="1537" t="s">
        <v>5066</v>
      </c>
      <c r="H1108" s="1521">
        <v>0</v>
      </c>
      <c r="I1108" s="1521">
        <v>1</v>
      </c>
      <c r="J1108" s="1538">
        <v>1</v>
      </c>
      <c r="K1108" s="1525"/>
      <c r="L1108" s="1519">
        <v>13095010402</v>
      </c>
      <c r="M1108" s="1520">
        <v>0</v>
      </c>
      <c r="N1108" s="1520">
        <v>1</v>
      </c>
      <c r="O1108" s="1520">
        <v>1</v>
      </c>
    </row>
    <row r="1109" spans="3:15" ht="13.5">
      <c r="C1109" s="1526" t="s">
        <v>5067</v>
      </c>
      <c r="D1109" s="1523">
        <v>1</v>
      </c>
      <c r="E1109" s="1523">
        <v>1</v>
      </c>
      <c r="F1109" s="1524">
        <v>2</v>
      </c>
      <c r="G1109" s="1537" t="s">
        <v>5067</v>
      </c>
      <c r="H1109" s="1521">
        <v>1</v>
      </c>
      <c r="I1109" s="1521">
        <v>0</v>
      </c>
      <c r="J1109" s="1538">
        <v>1</v>
      </c>
      <c r="K1109" s="1525"/>
      <c r="L1109" s="1519">
        <v>13095010403</v>
      </c>
      <c r="M1109" s="1520">
        <v>1</v>
      </c>
      <c r="N1109" s="1520">
        <v>1</v>
      </c>
      <c r="O1109" s="1520">
        <v>2</v>
      </c>
    </row>
    <row r="1110" spans="3:15" ht="13.5">
      <c r="C1110" s="1526" t="s">
        <v>5068</v>
      </c>
      <c r="D1110" s="1523">
        <v>0</v>
      </c>
      <c r="E1110" s="1523">
        <v>0</v>
      </c>
      <c r="F1110" s="1524">
        <v>0</v>
      </c>
      <c r="G1110" s="1537" t="s">
        <v>5068</v>
      </c>
      <c r="H1110" s="1521">
        <v>0</v>
      </c>
      <c r="I1110" s="1521">
        <v>0</v>
      </c>
      <c r="J1110" s="1538">
        <v>0</v>
      </c>
      <c r="K1110" s="1525"/>
      <c r="L1110" s="1519">
        <v>13095010500</v>
      </c>
      <c r="M1110" s="1520">
        <v>0</v>
      </c>
      <c r="N1110" s="1520">
        <v>0</v>
      </c>
      <c r="O1110" s="1520">
        <v>0</v>
      </c>
    </row>
    <row r="1111" spans="3:15" ht="13.5">
      <c r="C1111" s="1526" t="s">
        <v>5069</v>
      </c>
      <c r="D1111" s="1523">
        <v>0</v>
      </c>
      <c r="E1111" s="1523">
        <v>0</v>
      </c>
      <c r="F1111" s="1524">
        <v>0</v>
      </c>
      <c r="G1111" s="1537" t="s">
        <v>5069</v>
      </c>
      <c r="H1111" s="1521">
        <v>0</v>
      </c>
      <c r="I1111" s="1521">
        <v>0</v>
      </c>
      <c r="J1111" s="1538">
        <v>0</v>
      </c>
      <c r="K1111" s="1525"/>
      <c r="L1111" s="1519">
        <v>13095010601</v>
      </c>
      <c r="M1111" s="1520">
        <v>0</v>
      </c>
      <c r="N1111" s="1520">
        <v>0</v>
      </c>
      <c r="O1111" s="1520">
        <v>0</v>
      </c>
    </row>
    <row r="1112" spans="3:15" ht="13.5">
      <c r="C1112" s="1526" t="s">
        <v>5070</v>
      </c>
      <c r="D1112" s="1523">
        <v>0</v>
      </c>
      <c r="E1112" s="1523">
        <v>0</v>
      </c>
      <c r="F1112" s="1524">
        <v>0</v>
      </c>
      <c r="G1112" s="1537" t="s">
        <v>5070</v>
      </c>
      <c r="H1112" s="1521">
        <v>0</v>
      </c>
      <c r="I1112" s="1521">
        <v>0</v>
      </c>
      <c r="J1112" s="1538">
        <v>0</v>
      </c>
      <c r="K1112" s="1525"/>
      <c r="L1112" s="1519">
        <v>13095010602</v>
      </c>
      <c r="M1112" s="1520">
        <v>0</v>
      </c>
      <c r="N1112" s="1520">
        <v>0</v>
      </c>
      <c r="O1112" s="1520">
        <v>0</v>
      </c>
    </row>
    <row r="1113" spans="3:15" ht="13.5">
      <c r="C1113" s="1526" t="s">
        <v>5071</v>
      </c>
      <c r="D1113" s="1523">
        <v>0</v>
      </c>
      <c r="E1113" s="1523">
        <v>0</v>
      </c>
      <c r="F1113" s="1524">
        <v>0</v>
      </c>
      <c r="G1113" s="1537" t="s">
        <v>5071</v>
      </c>
      <c r="H1113" s="1521">
        <v>0</v>
      </c>
      <c r="I1113" s="1521">
        <v>0</v>
      </c>
      <c r="J1113" s="1538">
        <v>0</v>
      </c>
      <c r="K1113" s="1525"/>
      <c r="L1113" s="1519">
        <v>13095010700</v>
      </c>
      <c r="M1113" s="1520">
        <v>0</v>
      </c>
      <c r="N1113" s="1520">
        <v>0</v>
      </c>
      <c r="O1113" s="1520">
        <v>0</v>
      </c>
    </row>
    <row r="1114" spans="3:15" ht="13.5">
      <c r="C1114" s="1526" t="s">
        <v>5072</v>
      </c>
      <c r="D1114" s="1523">
        <v>0</v>
      </c>
      <c r="E1114" s="1523">
        <v>0</v>
      </c>
      <c r="F1114" s="1524">
        <v>0</v>
      </c>
      <c r="G1114" s="1537" t="s">
        <v>5072</v>
      </c>
      <c r="H1114" s="1521">
        <v>0</v>
      </c>
      <c r="I1114" s="1521">
        <v>1</v>
      </c>
      <c r="J1114" s="1538">
        <v>1</v>
      </c>
      <c r="K1114" s="1525"/>
      <c r="L1114" s="1519">
        <v>13095010900</v>
      </c>
      <c r="M1114" s="1520">
        <v>0</v>
      </c>
      <c r="N1114" s="1520">
        <v>1</v>
      </c>
      <c r="O1114" s="1520">
        <v>1</v>
      </c>
    </row>
    <row r="1115" spans="3:15" ht="13.5">
      <c r="C1115" s="1526" t="s">
        <v>5073</v>
      </c>
      <c r="D1115" s="1523">
        <v>0</v>
      </c>
      <c r="E1115" s="1523">
        <v>0</v>
      </c>
      <c r="F1115" s="1524">
        <v>0</v>
      </c>
      <c r="G1115" s="1537" t="s">
        <v>5073</v>
      </c>
      <c r="H1115" s="1521">
        <v>0</v>
      </c>
      <c r="I1115" s="1521">
        <v>0</v>
      </c>
      <c r="J1115" s="1538">
        <v>0</v>
      </c>
      <c r="K1115" s="1525"/>
      <c r="L1115" s="1519">
        <v>13095011000</v>
      </c>
      <c r="M1115" s="1520">
        <v>0</v>
      </c>
      <c r="N1115" s="1520">
        <v>0</v>
      </c>
      <c r="O1115" s="1520">
        <v>0</v>
      </c>
    </row>
    <row r="1116" spans="3:15" ht="13.5">
      <c r="C1116" s="1526" t="s">
        <v>5074</v>
      </c>
      <c r="D1116" s="1523">
        <v>0</v>
      </c>
      <c r="E1116" s="1523">
        <v>0</v>
      </c>
      <c r="F1116" s="1524">
        <v>0</v>
      </c>
      <c r="G1116" s="1537" t="s">
        <v>5074</v>
      </c>
      <c r="H1116" s="1521">
        <v>0</v>
      </c>
      <c r="I1116" s="1521">
        <v>0</v>
      </c>
      <c r="J1116" s="1538">
        <v>0</v>
      </c>
      <c r="K1116" s="1525"/>
      <c r="L1116" s="1519">
        <v>13095011200</v>
      </c>
      <c r="M1116" s="1520">
        <v>0</v>
      </c>
      <c r="N1116" s="1520">
        <v>0</v>
      </c>
      <c r="O1116" s="1520">
        <v>0</v>
      </c>
    </row>
    <row r="1117" spans="3:15" ht="13.5">
      <c r="C1117" s="1526" t="s">
        <v>5075</v>
      </c>
      <c r="D1117" s="1523">
        <v>0</v>
      </c>
      <c r="E1117" s="1523">
        <v>0</v>
      </c>
      <c r="F1117" s="1524">
        <v>0</v>
      </c>
      <c r="G1117" s="1537" t="s">
        <v>5075</v>
      </c>
      <c r="H1117" s="1521">
        <v>0</v>
      </c>
      <c r="I1117" s="1521">
        <v>0</v>
      </c>
      <c r="J1117" s="1538">
        <v>0</v>
      </c>
      <c r="K1117" s="1525"/>
      <c r="L1117" s="1519">
        <v>13095011300</v>
      </c>
      <c r="M1117" s="1520">
        <v>0</v>
      </c>
      <c r="N1117" s="1520">
        <v>0</v>
      </c>
      <c r="O1117" s="1520">
        <v>0</v>
      </c>
    </row>
    <row r="1118" spans="3:15" ht="13.5">
      <c r="C1118" s="1526" t="s">
        <v>5076</v>
      </c>
      <c r="D1118" s="1523">
        <v>0</v>
      </c>
      <c r="E1118" s="1523">
        <v>0</v>
      </c>
      <c r="F1118" s="1524">
        <v>0</v>
      </c>
      <c r="G1118" s="1537" t="s">
        <v>5076</v>
      </c>
      <c r="H1118" s="1521">
        <v>0</v>
      </c>
      <c r="I1118" s="1521">
        <v>0</v>
      </c>
      <c r="J1118" s="1538">
        <v>0</v>
      </c>
      <c r="K1118" s="1525"/>
      <c r="L1118" s="1519">
        <v>13095011400</v>
      </c>
      <c r="M1118" s="1520">
        <v>0</v>
      </c>
      <c r="N1118" s="1520">
        <v>0</v>
      </c>
      <c r="O1118" s="1520">
        <v>0</v>
      </c>
    </row>
    <row r="1119" spans="3:15" ht="13.5">
      <c r="C1119" s="1526" t="s">
        <v>5077</v>
      </c>
      <c r="D1119" s="1523">
        <v>0</v>
      </c>
      <c r="E1119" s="1523">
        <v>1</v>
      </c>
      <c r="F1119" s="1524">
        <v>1</v>
      </c>
      <c r="G1119" s="1537" t="s">
        <v>5077</v>
      </c>
      <c r="H1119" s="1521">
        <v>0</v>
      </c>
      <c r="I1119" s="1521">
        <v>0</v>
      </c>
      <c r="J1119" s="1538">
        <v>0</v>
      </c>
      <c r="K1119" s="1525"/>
      <c r="L1119" s="1519">
        <v>13095011600</v>
      </c>
      <c r="M1119" s="1520">
        <v>0</v>
      </c>
      <c r="N1119" s="1520">
        <v>1</v>
      </c>
      <c r="O1119" s="1520">
        <v>1</v>
      </c>
    </row>
    <row r="1120" spans="3:15" ht="13.5">
      <c r="C1120" s="1526" t="s">
        <v>5078</v>
      </c>
      <c r="D1120" s="1523">
        <v>0</v>
      </c>
      <c r="E1120" s="1523">
        <v>1</v>
      </c>
      <c r="F1120" s="1524">
        <v>1</v>
      </c>
      <c r="G1120" s="1537" t="s">
        <v>5078</v>
      </c>
      <c r="H1120" s="1521">
        <v>1</v>
      </c>
      <c r="I1120" s="1521">
        <v>1</v>
      </c>
      <c r="J1120" s="1538">
        <v>2</v>
      </c>
      <c r="K1120" s="1525"/>
      <c r="L1120" s="1519">
        <v>13097080102</v>
      </c>
      <c r="M1120" s="1520">
        <v>1</v>
      </c>
      <c r="N1120" s="1520">
        <v>1</v>
      </c>
      <c r="O1120" s="1520">
        <v>2</v>
      </c>
    </row>
    <row r="1121" spans="3:15" ht="13.5">
      <c r="C1121" s="1526" t="s">
        <v>5079</v>
      </c>
      <c r="D1121" s="1523">
        <v>0</v>
      </c>
      <c r="E1121" s="1523">
        <v>0</v>
      </c>
      <c r="F1121" s="1524">
        <v>0</v>
      </c>
      <c r="G1121" s="1537" t="s">
        <v>5079</v>
      </c>
      <c r="H1121" s="1521">
        <v>1</v>
      </c>
      <c r="I1121" s="1521">
        <v>0</v>
      </c>
      <c r="J1121" s="1538">
        <v>1</v>
      </c>
      <c r="K1121" s="1525"/>
      <c r="L1121" s="1519">
        <v>13097080103</v>
      </c>
      <c r="M1121" s="1520">
        <v>1</v>
      </c>
      <c r="N1121" s="1520">
        <v>0</v>
      </c>
      <c r="O1121" s="1520">
        <v>1</v>
      </c>
    </row>
    <row r="1122" spans="3:15" ht="13.5">
      <c r="C1122" s="1526" t="s">
        <v>5080</v>
      </c>
      <c r="D1122" s="1523">
        <v>0</v>
      </c>
      <c r="E1122" s="1523">
        <v>1</v>
      </c>
      <c r="F1122" s="1524">
        <v>1</v>
      </c>
      <c r="G1122" s="1537" t="s">
        <v>5080</v>
      </c>
      <c r="H1122" s="1521">
        <v>0</v>
      </c>
      <c r="I1122" s="1521">
        <v>0</v>
      </c>
      <c r="J1122" s="1538">
        <v>0</v>
      </c>
      <c r="K1122" s="1525"/>
      <c r="L1122" s="1519">
        <v>13097080201</v>
      </c>
      <c r="M1122" s="1520">
        <v>0</v>
      </c>
      <c r="N1122" s="1520">
        <v>1</v>
      </c>
      <c r="O1122" s="1520">
        <v>1</v>
      </c>
    </row>
    <row r="1123" spans="3:15" ht="13.5">
      <c r="C1123" s="1526" t="s">
        <v>5081</v>
      </c>
      <c r="D1123" s="1523">
        <v>0</v>
      </c>
      <c r="E1123" s="1523">
        <v>0</v>
      </c>
      <c r="F1123" s="1524">
        <v>0</v>
      </c>
      <c r="G1123" s="1537" t="s">
        <v>5081</v>
      </c>
      <c r="H1123" s="1521">
        <v>0</v>
      </c>
      <c r="I1123" s="1521">
        <v>0</v>
      </c>
      <c r="J1123" s="1538">
        <v>0</v>
      </c>
      <c r="K1123" s="1525"/>
      <c r="L1123" s="1519">
        <v>13097080202</v>
      </c>
      <c r="M1123" s="1520">
        <v>0</v>
      </c>
      <c r="N1123" s="1520">
        <v>0</v>
      </c>
      <c r="O1123" s="1520">
        <v>0</v>
      </c>
    </row>
    <row r="1124" spans="3:15" ht="13.5">
      <c r="C1124" s="1526" t="s">
        <v>5082</v>
      </c>
      <c r="D1124" s="1523">
        <v>0</v>
      </c>
      <c r="E1124" s="1523">
        <v>0</v>
      </c>
      <c r="F1124" s="1524">
        <v>0</v>
      </c>
      <c r="G1124" s="1537" t="s">
        <v>5082</v>
      </c>
      <c r="H1124" s="1521">
        <v>0</v>
      </c>
      <c r="I1124" s="1521">
        <v>0</v>
      </c>
      <c r="J1124" s="1538">
        <v>0</v>
      </c>
      <c r="K1124" s="1525"/>
      <c r="L1124" s="1519">
        <v>13097080301</v>
      </c>
      <c r="M1124" s="1520">
        <v>0</v>
      </c>
      <c r="N1124" s="1520">
        <v>0</v>
      </c>
      <c r="O1124" s="1520">
        <v>0</v>
      </c>
    </row>
    <row r="1125" spans="3:15" ht="13.5">
      <c r="C1125" s="1526" t="s">
        <v>5083</v>
      </c>
      <c r="D1125" s="1523">
        <v>0</v>
      </c>
      <c r="E1125" s="1523">
        <v>0</v>
      </c>
      <c r="F1125" s="1524">
        <v>0</v>
      </c>
      <c r="G1125" s="1537" t="s">
        <v>5083</v>
      </c>
      <c r="H1125" s="1521">
        <v>1</v>
      </c>
      <c r="I1125" s="1521">
        <v>0</v>
      </c>
      <c r="J1125" s="1538">
        <v>1</v>
      </c>
      <c r="K1125" s="1525"/>
      <c r="L1125" s="1519">
        <v>13097080303</v>
      </c>
      <c r="M1125" s="1520">
        <v>1</v>
      </c>
      <c r="N1125" s="1520">
        <v>0</v>
      </c>
      <c r="O1125" s="1520">
        <v>1</v>
      </c>
    </row>
    <row r="1126" spans="3:15" ht="13.5">
      <c r="C1126" s="1526" t="s">
        <v>5084</v>
      </c>
      <c r="D1126" s="1523">
        <v>0</v>
      </c>
      <c r="E1126" s="1523">
        <v>0</v>
      </c>
      <c r="F1126" s="1524">
        <v>0</v>
      </c>
      <c r="G1126" s="1537" t="s">
        <v>5084</v>
      </c>
      <c r="H1126" s="1521">
        <v>0</v>
      </c>
      <c r="I1126" s="1521">
        <v>0</v>
      </c>
      <c r="J1126" s="1538">
        <v>0</v>
      </c>
      <c r="K1126" s="1525"/>
      <c r="L1126" s="1519">
        <v>13097080304</v>
      </c>
      <c r="M1126" s="1520">
        <v>0</v>
      </c>
      <c r="N1126" s="1520">
        <v>0</v>
      </c>
      <c r="O1126" s="1520">
        <v>0</v>
      </c>
    </row>
    <row r="1127" spans="3:15" ht="13.5">
      <c r="C1127" s="1526" t="s">
        <v>5085</v>
      </c>
      <c r="D1127" s="1523">
        <v>1</v>
      </c>
      <c r="E1127" s="1523">
        <v>1</v>
      </c>
      <c r="F1127" s="1524">
        <v>2</v>
      </c>
      <c r="G1127" s="1537" t="s">
        <v>5085</v>
      </c>
      <c r="H1127" s="1521">
        <v>1</v>
      </c>
      <c r="I1127" s="1521">
        <v>1</v>
      </c>
      <c r="J1127" s="1538">
        <v>2</v>
      </c>
      <c r="K1127" s="1525"/>
      <c r="L1127" s="1519">
        <v>13097080402</v>
      </c>
      <c r="M1127" s="1520">
        <v>1</v>
      </c>
      <c r="N1127" s="1520">
        <v>1</v>
      </c>
      <c r="O1127" s="1520">
        <v>2</v>
      </c>
    </row>
    <row r="1128" spans="3:15" ht="13.5">
      <c r="C1128" s="1526" t="s">
        <v>5086</v>
      </c>
      <c r="D1128" s="1523">
        <v>1</v>
      </c>
      <c r="E1128" s="1523">
        <v>1</v>
      </c>
      <c r="F1128" s="1524">
        <v>2</v>
      </c>
      <c r="G1128" s="1537" t="s">
        <v>5086</v>
      </c>
      <c r="H1128" s="1521">
        <v>1</v>
      </c>
      <c r="I1128" s="1521">
        <v>1</v>
      </c>
      <c r="J1128" s="1538">
        <v>2</v>
      </c>
      <c r="K1128" s="1525"/>
      <c r="L1128" s="1519">
        <v>13097080403</v>
      </c>
      <c r="M1128" s="1520">
        <v>1</v>
      </c>
      <c r="N1128" s="1520">
        <v>1</v>
      </c>
      <c r="O1128" s="1520">
        <v>2</v>
      </c>
    </row>
    <row r="1129" spans="3:15" ht="13.5">
      <c r="C1129" s="1526" t="s">
        <v>5087</v>
      </c>
      <c r="D1129" s="1523">
        <v>0</v>
      </c>
      <c r="E1129" s="1523">
        <v>0</v>
      </c>
      <c r="F1129" s="1524">
        <v>0</v>
      </c>
      <c r="G1129" s="1537" t="s">
        <v>5087</v>
      </c>
      <c r="H1129" s="1521">
        <v>0</v>
      </c>
      <c r="I1129" s="1521">
        <v>0</v>
      </c>
      <c r="J1129" s="1538">
        <v>0</v>
      </c>
      <c r="K1129" s="1525"/>
      <c r="L1129" s="1519">
        <v>13097080404</v>
      </c>
      <c r="M1129" s="1520">
        <v>0</v>
      </c>
      <c r="N1129" s="1520">
        <v>0</v>
      </c>
      <c r="O1129" s="1520">
        <v>0</v>
      </c>
    </row>
    <row r="1130" spans="3:15" ht="13.5">
      <c r="C1130" s="1526" t="s">
        <v>5088</v>
      </c>
      <c r="D1130" s="1523">
        <v>0</v>
      </c>
      <c r="E1130" s="1523">
        <v>1</v>
      </c>
      <c r="F1130" s="1524">
        <v>1</v>
      </c>
      <c r="G1130" s="1537" t="s">
        <v>5088</v>
      </c>
      <c r="H1130" s="1521">
        <v>0</v>
      </c>
      <c r="I1130" s="1521">
        <v>0</v>
      </c>
      <c r="J1130" s="1538">
        <v>0</v>
      </c>
      <c r="K1130" s="1525"/>
      <c r="L1130" s="1519">
        <v>13097080505</v>
      </c>
      <c r="M1130" s="1520">
        <v>0</v>
      </c>
      <c r="N1130" s="1520">
        <v>1</v>
      </c>
      <c r="O1130" s="1520">
        <v>1</v>
      </c>
    </row>
    <row r="1131" spans="3:15" ht="13.5">
      <c r="C1131" s="1526" t="s">
        <v>5089</v>
      </c>
      <c r="D1131" s="1523">
        <v>1</v>
      </c>
      <c r="E1131" s="1523">
        <v>1</v>
      </c>
      <c r="F1131" s="1524">
        <v>2</v>
      </c>
      <c r="G1131" s="1537" t="s">
        <v>5089</v>
      </c>
      <c r="H1131" s="1521">
        <v>0</v>
      </c>
      <c r="I1131" s="1521">
        <v>0</v>
      </c>
      <c r="J1131" s="1538">
        <v>0</v>
      </c>
      <c r="K1131" s="1525"/>
      <c r="L1131" s="1519">
        <v>13097080506</v>
      </c>
      <c r="M1131" s="1520">
        <v>1</v>
      </c>
      <c r="N1131" s="1520">
        <v>1</v>
      </c>
      <c r="O1131" s="1520">
        <v>2</v>
      </c>
    </row>
    <row r="1132" spans="3:15" ht="13.5">
      <c r="C1132" s="1526" t="s">
        <v>5090</v>
      </c>
      <c r="D1132" s="1523">
        <v>1</v>
      </c>
      <c r="E1132" s="1523">
        <v>1</v>
      </c>
      <c r="F1132" s="1524">
        <v>2</v>
      </c>
      <c r="G1132" s="1537" t="s">
        <v>5090</v>
      </c>
      <c r="H1132" s="1521">
        <v>1</v>
      </c>
      <c r="I1132" s="1521">
        <v>0</v>
      </c>
      <c r="J1132" s="1538">
        <v>1</v>
      </c>
      <c r="K1132" s="1525"/>
      <c r="L1132" s="1519">
        <v>13097080507</v>
      </c>
      <c r="M1132" s="1520">
        <v>1</v>
      </c>
      <c r="N1132" s="1520">
        <v>1</v>
      </c>
      <c r="O1132" s="1520">
        <v>2</v>
      </c>
    </row>
    <row r="1133" spans="3:15" ht="13.5">
      <c r="C1133" s="1526" t="s">
        <v>5091</v>
      </c>
      <c r="D1133" s="1523">
        <v>0</v>
      </c>
      <c r="E1133" s="1523">
        <v>1</v>
      </c>
      <c r="F1133" s="1524">
        <v>1</v>
      </c>
      <c r="G1133" s="1537" t="s">
        <v>5091</v>
      </c>
      <c r="H1133" s="1521">
        <v>0</v>
      </c>
      <c r="I1133" s="1521">
        <v>0</v>
      </c>
      <c r="J1133" s="1538">
        <v>0</v>
      </c>
      <c r="K1133" s="1525"/>
      <c r="L1133" s="1519">
        <v>13097080508</v>
      </c>
      <c r="M1133" s="1520">
        <v>0</v>
      </c>
      <c r="N1133" s="1520">
        <v>1</v>
      </c>
      <c r="O1133" s="1520">
        <v>1</v>
      </c>
    </row>
    <row r="1134" spans="3:15" ht="13.5">
      <c r="C1134" s="1526" t="s">
        <v>5092</v>
      </c>
      <c r="D1134" s="1523">
        <v>1</v>
      </c>
      <c r="E1134" s="1523">
        <v>1</v>
      </c>
      <c r="F1134" s="1524">
        <v>2</v>
      </c>
      <c r="G1134" s="1537" t="s">
        <v>5092</v>
      </c>
      <c r="H1134" s="1521">
        <v>1</v>
      </c>
      <c r="I1134" s="1521">
        <v>1</v>
      </c>
      <c r="J1134" s="1538">
        <v>2</v>
      </c>
      <c r="K1134" s="1525"/>
      <c r="L1134" s="1519">
        <v>13097080509</v>
      </c>
      <c r="M1134" s="1520">
        <v>1</v>
      </c>
      <c r="N1134" s="1520">
        <v>1</v>
      </c>
      <c r="O1134" s="1520">
        <v>2</v>
      </c>
    </row>
    <row r="1135" spans="3:15" ht="13.5">
      <c r="C1135" s="1526" t="s">
        <v>5093</v>
      </c>
      <c r="D1135" s="1523">
        <v>1</v>
      </c>
      <c r="E1135" s="1523">
        <v>1</v>
      </c>
      <c r="F1135" s="1524">
        <v>2</v>
      </c>
      <c r="G1135" s="1537" t="s">
        <v>5093</v>
      </c>
      <c r="H1135" s="1521">
        <v>0</v>
      </c>
      <c r="I1135" s="1521">
        <v>1</v>
      </c>
      <c r="J1135" s="1538">
        <v>1</v>
      </c>
      <c r="K1135" s="1525"/>
      <c r="L1135" s="1519">
        <v>13097080510</v>
      </c>
      <c r="M1135" s="1520">
        <v>1</v>
      </c>
      <c r="N1135" s="1520">
        <v>1</v>
      </c>
      <c r="O1135" s="1520">
        <v>2</v>
      </c>
    </row>
    <row r="1136" spans="3:15" ht="13.5">
      <c r="C1136" s="1526" t="s">
        <v>5094</v>
      </c>
      <c r="D1136" s="1523">
        <v>1</v>
      </c>
      <c r="E1136" s="1523">
        <v>1</v>
      </c>
      <c r="F1136" s="1524">
        <v>2</v>
      </c>
      <c r="G1136" s="1537" t="s">
        <v>5094</v>
      </c>
      <c r="H1136" s="1521">
        <v>1</v>
      </c>
      <c r="I1136" s="1521">
        <v>1</v>
      </c>
      <c r="J1136" s="1538">
        <v>2</v>
      </c>
      <c r="K1136" s="1525"/>
      <c r="L1136" s="1519">
        <v>13097080511</v>
      </c>
      <c r="M1136" s="1520">
        <v>1</v>
      </c>
      <c r="N1136" s="1520">
        <v>1</v>
      </c>
      <c r="O1136" s="1520">
        <v>2</v>
      </c>
    </row>
    <row r="1137" spans="3:15" ht="13.5">
      <c r="C1137" s="1526" t="s">
        <v>5095</v>
      </c>
      <c r="D1137" s="1523">
        <v>1</v>
      </c>
      <c r="E1137" s="1523">
        <v>1</v>
      </c>
      <c r="F1137" s="1524">
        <v>2</v>
      </c>
      <c r="G1137" s="1537" t="s">
        <v>5095</v>
      </c>
      <c r="H1137" s="1521">
        <v>1</v>
      </c>
      <c r="I1137" s="1521">
        <v>1</v>
      </c>
      <c r="J1137" s="1538">
        <v>1</v>
      </c>
      <c r="K1137" s="1525"/>
      <c r="L1137" s="1519">
        <v>13097080602</v>
      </c>
      <c r="M1137" s="1520">
        <v>1</v>
      </c>
      <c r="N1137" s="1520">
        <v>1</v>
      </c>
      <c r="O1137" s="1520">
        <v>2</v>
      </c>
    </row>
    <row r="1138" spans="3:15" ht="13.5">
      <c r="C1138" s="1526" t="s">
        <v>5096</v>
      </c>
      <c r="D1138" s="1523">
        <v>1</v>
      </c>
      <c r="E1138" s="1523">
        <v>1</v>
      </c>
      <c r="F1138" s="1524">
        <v>2</v>
      </c>
      <c r="G1138" s="1537" t="s">
        <v>5096</v>
      </c>
      <c r="H1138" s="1521">
        <v>1</v>
      </c>
      <c r="I1138" s="1521">
        <v>0</v>
      </c>
      <c r="J1138" s="1538">
        <v>1</v>
      </c>
      <c r="K1138" s="1525"/>
      <c r="L1138" s="1519">
        <v>13097080603</v>
      </c>
      <c r="M1138" s="1520">
        <v>1</v>
      </c>
      <c r="N1138" s="1520">
        <v>1</v>
      </c>
      <c r="O1138" s="1520">
        <v>2</v>
      </c>
    </row>
    <row r="1139" spans="3:15" ht="13.5">
      <c r="C1139" s="1526" t="s">
        <v>5097</v>
      </c>
      <c r="D1139" s="1523">
        <v>1</v>
      </c>
      <c r="E1139" s="1523">
        <v>1</v>
      </c>
      <c r="F1139" s="1524">
        <v>2</v>
      </c>
      <c r="G1139" s="1537" t="s">
        <v>5097</v>
      </c>
      <c r="H1139" s="1521">
        <v>1</v>
      </c>
      <c r="I1139" s="1521">
        <v>0</v>
      </c>
      <c r="J1139" s="1538">
        <v>1</v>
      </c>
      <c r="K1139" s="1525"/>
      <c r="L1139" s="1519">
        <v>13097080604</v>
      </c>
      <c r="M1139" s="1520">
        <v>1</v>
      </c>
      <c r="N1139" s="1520">
        <v>1</v>
      </c>
      <c r="O1139" s="1520">
        <v>2</v>
      </c>
    </row>
    <row r="1140" spans="3:15" ht="13.5">
      <c r="C1140" s="1526" t="s">
        <v>5098</v>
      </c>
      <c r="D1140" s="1523">
        <v>0</v>
      </c>
      <c r="E1140" s="1523">
        <v>0</v>
      </c>
      <c r="F1140" s="1524">
        <v>0</v>
      </c>
      <c r="G1140" s="1537" t="s">
        <v>5098</v>
      </c>
      <c r="H1140" s="1521">
        <v>0</v>
      </c>
      <c r="I1140" s="1521">
        <v>0</v>
      </c>
      <c r="J1140" s="1538">
        <v>0</v>
      </c>
      <c r="K1140" s="1525"/>
      <c r="L1140" s="1519">
        <v>13099090100</v>
      </c>
      <c r="M1140" s="1520">
        <v>0</v>
      </c>
      <c r="N1140" s="1520">
        <v>0</v>
      </c>
      <c r="O1140" s="1520">
        <v>0</v>
      </c>
    </row>
    <row r="1141" spans="3:15" ht="13.5">
      <c r="C1141" s="1526" t="s">
        <v>5099</v>
      </c>
      <c r="D1141" s="1523">
        <v>0</v>
      </c>
      <c r="E1141" s="1523">
        <v>0</v>
      </c>
      <c r="F1141" s="1524">
        <v>0</v>
      </c>
      <c r="G1141" s="1537" t="s">
        <v>5099</v>
      </c>
      <c r="H1141" s="1521">
        <v>0</v>
      </c>
      <c r="I1141" s="1521">
        <v>0</v>
      </c>
      <c r="J1141" s="1538">
        <v>0</v>
      </c>
      <c r="K1141" s="1525"/>
      <c r="L1141" s="1519">
        <v>13099090200</v>
      </c>
      <c r="M1141" s="1520">
        <v>0</v>
      </c>
      <c r="N1141" s="1520">
        <v>0</v>
      </c>
      <c r="O1141" s="1520">
        <v>0</v>
      </c>
    </row>
    <row r="1142" spans="3:15" ht="13.5">
      <c r="C1142" s="1526" t="s">
        <v>5100</v>
      </c>
      <c r="D1142" s="1523">
        <v>1</v>
      </c>
      <c r="E1142" s="1523">
        <v>0</v>
      </c>
      <c r="F1142" s="1524">
        <v>1</v>
      </c>
      <c r="G1142" s="1537" t="s">
        <v>5100</v>
      </c>
      <c r="H1142" s="1521">
        <v>0</v>
      </c>
      <c r="I1142" s="1521">
        <v>0</v>
      </c>
      <c r="J1142" s="1538">
        <v>0</v>
      </c>
      <c r="K1142" s="1525"/>
      <c r="L1142" s="1519">
        <v>13099090300</v>
      </c>
      <c r="M1142" s="1520">
        <v>1</v>
      </c>
      <c r="N1142" s="1520">
        <v>0</v>
      </c>
      <c r="O1142" s="1520">
        <v>1</v>
      </c>
    </row>
    <row r="1143" spans="3:15" ht="13.5">
      <c r="C1143" s="1526" t="s">
        <v>5101</v>
      </c>
      <c r="D1143" s="1523">
        <v>0</v>
      </c>
      <c r="E1143" s="1523">
        <v>0</v>
      </c>
      <c r="F1143" s="1524">
        <v>0</v>
      </c>
      <c r="G1143" s="1537" t="s">
        <v>5101</v>
      </c>
      <c r="H1143" s="1521">
        <v>0</v>
      </c>
      <c r="I1143" s="1521">
        <v>0</v>
      </c>
      <c r="J1143" s="1538">
        <v>0</v>
      </c>
      <c r="K1143" s="1525"/>
      <c r="L1143" s="1519">
        <v>13099090400</v>
      </c>
      <c r="M1143" s="1520">
        <v>0</v>
      </c>
      <c r="N1143" s="1520">
        <v>0</v>
      </c>
      <c r="O1143" s="1520">
        <v>0</v>
      </c>
    </row>
    <row r="1144" spans="3:15" ht="13.5">
      <c r="C1144" s="1526" t="s">
        <v>5102</v>
      </c>
      <c r="D1144" s="1523">
        <v>0</v>
      </c>
      <c r="E1144" s="1523">
        <v>0</v>
      </c>
      <c r="F1144" s="1524">
        <v>0</v>
      </c>
      <c r="G1144" s="1537" t="s">
        <v>5102</v>
      </c>
      <c r="H1144" s="1521">
        <v>0</v>
      </c>
      <c r="I1144" s="1521">
        <v>0</v>
      </c>
      <c r="J1144" s="1538">
        <v>0</v>
      </c>
      <c r="K1144" s="1525"/>
      <c r="L1144" s="1519">
        <v>13099090500</v>
      </c>
      <c r="M1144" s="1520">
        <v>0</v>
      </c>
      <c r="N1144" s="1520">
        <v>0</v>
      </c>
      <c r="O1144" s="1520">
        <v>0</v>
      </c>
    </row>
    <row r="1145" spans="3:15" ht="13.5">
      <c r="C1145" s="1526" t="s">
        <v>5103</v>
      </c>
      <c r="D1145" s="1523">
        <v>0</v>
      </c>
      <c r="E1145" s="1523">
        <v>0</v>
      </c>
      <c r="F1145" s="1524">
        <v>0</v>
      </c>
      <c r="G1145" s="1537" t="s">
        <v>5103</v>
      </c>
      <c r="H1145" s="1521">
        <v>0</v>
      </c>
      <c r="I1145" s="1521">
        <v>0</v>
      </c>
      <c r="J1145" s="1538">
        <v>0</v>
      </c>
      <c r="K1145" s="1525"/>
      <c r="L1145" s="1519">
        <v>13101880100</v>
      </c>
      <c r="M1145" s="1520">
        <v>0</v>
      </c>
      <c r="N1145" s="1520">
        <v>0</v>
      </c>
      <c r="O1145" s="1520">
        <v>0</v>
      </c>
    </row>
    <row r="1146" spans="3:15" ht="13.5">
      <c r="C1146" s="1526" t="s">
        <v>5104</v>
      </c>
      <c r="D1146" s="1523">
        <v>0</v>
      </c>
      <c r="E1146" s="1523">
        <v>0</v>
      </c>
      <c r="F1146" s="1524">
        <v>0</v>
      </c>
      <c r="G1146" s="1537" t="s">
        <v>5104</v>
      </c>
      <c r="H1146" s="1521">
        <v>0</v>
      </c>
      <c r="I1146" s="1521">
        <v>0</v>
      </c>
      <c r="J1146" s="1538">
        <v>0</v>
      </c>
      <c r="K1146" s="1525"/>
      <c r="L1146" s="1519">
        <v>13101880200</v>
      </c>
      <c r="M1146" s="1520">
        <v>0</v>
      </c>
      <c r="N1146" s="1520">
        <v>0</v>
      </c>
      <c r="O1146" s="1520">
        <v>0</v>
      </c>
    </row>
    <row r="1147" spans="3:15" ht="13.5">
      <c r="C1147" s="1526" t="s">
        <v>5105</v>
      </c>
      <c r="D1147" s="1523">
        <v>1</v>
      </c>
      <c r="E1147" s="1523">
        <v>1</v>
      </c>
      <c r="F1147" s="1524">
        <v>2</v>
      </c>
      <c r="G1147" s="1537" t="s">
        <v>5105</v>
      </c>
      <c r="H1147" s="1521">
        <v>0</v>
      </c>
      <c r="I1147" s="1521">
        <v>0</v>
      </c>
      <c r="J1147" s="1538">
        <v>0</v>
      </c>
      <c r="K1147" s="1525"/>
      <c r="L1147" s="1519">
        <v>13103030100</v>
      </c>
      <c r="M1147" s="1520">
        <v>1</v>
      </c>
      <c r="N1147" s="1520">
        <v>1</v>
      </c>
      <c r="O1147" s="1520">
        <v>2</v>
      </c>
    </row>
    <row r="1148" spans="3:15" ht="13.5">
      <c r="C1148" s="1526" t="s">
        <v>5106</v>
      </c>
      <c r="D1148" s="1523">
        <v>1</v>
      </c>
      <c r="E1148" s="1523">
        <v>1</v>
      </c>
      <c r="F1148" s="1524">
        <v>2</v>
      </c>
      <c r="G1148" s="1537" t="s">
        <v>5106</v>
      </c>
      <c r="H1148" s="1521">
        <v>1</v>
      </c>
      <c r="I1148" s="1521">
        <v>0</v>
      </c>
      <c r="J1148" s="1538">
        <v>1</v>
      </c>
      <c r="K1148" s="1525"/>
      <c r="L1148" s="1519">
        <v>13103030202</v>
      </c>
      <c r="M1148" s="1520">
        <v>1</v>
      </c>
      <c r="N1148" s="1520">
        <v>1</v>
      </c>
      <c r="O1148" s="1520">
        <v>2</v>
      </c>
    </row>
    <row r="1149" spans="3:15" ht="13.5">
      <c r="C1149" s="1526" t="s">
        <v>5107</v>
      </c>
      <c r="D1149" s="1523">
        <v>1</v>
      </c>
      <c r="E1149" s="1523">
        <v>1</v>
      </c>
      <c r="F1149" s="1524">
        <v>2</v>
      </c>
      <c r="G1149" s="1537" t="s">
        <v>5107</v>
      </c>
      <c r="H1149" s="1521">
        <v>1</v>
      </c>
      <c r="I1149" s="1521">
        <v>0</v>
      </c>
      <c r="J1149" s="1538">
        <v>1</v>
      </c>
      <c r="K1149" s="1525"/>
      <c r="L1149" s="1519">
        <v>13103030203</v>
      </c>
      <c r="M1149" s="1520">
        <v>1</v>
      </c>
      <c r="N1149" s="1520">
        <v>1</v>
      </c>
      <c r="O1149" s="1520">
        <v>2</v>
      </c>
    </row>
    <row r="1150" spans="3:15" ht="13.5">
      <c r="C1150" s="1526" t="s">
        <v>5108</v>
      </c>
      <c r="D1150" s="1523">
        <v>0</v>
      </c>
      <c r="E1150" s="1523">
        <v>0</v>
      </c>
      <c r="F1150" s="1524">
        <v>0</v>
      </c>
      <c r="G1150" s="1537" t="s">
        <v>5108</v>
      </c>
      <c r="H1150" s="1521">
        <v>0</v>
      </c>
      <c r="I1150" s="1521">
        <v>1</v>
      </c>
      <c r="J1150" s="1538">
        <v>1</v>
      </c>
      <c r="K1150" s="1525"/>
      <c r="L1150" s="1519">
        <v>13103030204</v>
      </c>
      <c r="M1150" s="1520">
        <v>0</v>
      </c>
      <c r="N1150" s="1520">
        <v>1</v>
      </c>
      <c r="O1150" s="1520">
        <v>1</v>
      </c>
    </row>
    <row r="1151" spans="3:15" ht="13.5">
      <c r="C1151" s="1526" t="s">
        <v>5109</v>
      </c>
      <c r="D1151" s="1523">
        <v>1</v>
      </c>
      <c r="E1151" s="1523">
        <v>1</v>
      </c>
      <c r="F1151" s="1524">
        <v>2</v>
      </c>
      <c r="G1151" s="1537" t="s">
        <v>5109</v>
      </c>
      <c r="H1151" s="1521">
        <v>1</v>
      </c>
      <c r="I1151" s="1521">
        <v>1</v>
      </c>
      <c r="J1151" s="1538">
        <v>2</v>
      </c>
      <c r="K1151" s="1525"/>
      <c r="L1151" s="1519">
        <v>13103030301</v>
      </c>
      <c r="M1151" s="1520">
        <v>1</v>
      </c>
      <c r="N1151" s="1520">
        <v>1</v>
      </c>
      <c r="O1151" s="1520">
        <v>2</v>
      </c>
    </row>
    <row r="1152" spans="3:15" ht="13.5">
      <c r="C1152" s="1526" t="s">
        <v>5110</v>
      </c>
      <c r="D1152" s="1523">
        <v>0</v>
      </c>
      <c r="E1152" s="1523">
        <v>1</v>
      </c>
      <c r="F1152" s="1524">
        <v>1</v>
      </c>
      <c r="G1152" s="1537" t="s">
        <v>5110</v>
      </c>
      <c r="H1152" s="1521">
        <v>1</v>
      </c>
      <c r="I1152" s="1521">
        <v>0</v>
      </c>
      <c r="J1152" s="1538">
        <v>1</v>
      </c>
      <c r="K1152" s="1525"/>
      <c r="L1152" s="1519">
        <v>13103030303</v>
      </c>
      <c r="M1152" s="1520">
        <v>1</v>
      </c>
      <c r="N1152" s="1520">
        <v>1</v>
      </c>
      <c r="O1152" s="1520">
        <v>1</v>
      </c>
    </row>
    <row r="1153" spans="3:15" ht="13.5">
      <c r="C1153" s="1526" t="s">
        <v>5111</v>
      </c>
      <c r="D1153" s="1523">
        <v>1</v>
      </c>
      <c r="E1153" s="1523">
        <v>1</v>
      </c>
      <c r="F1153" s="1524">
        <v>2</v>
      </c>
      <c r="G1153" s="1537" t="s">
        <v>5111</v>
      </c>
      <c r="H1153" s="1521">
        <v>1</v>
      </c>
      <c r="I1153" s="1521">
        <v>0</v>
      </c>
      <c r="J1153" s="1538">
        <v>1</v>
      </c>
      <c r="K1153" s="1525"/>
      <c r="L1153" s="1519">
        <v>13103030304</v>
      </c>
      <c r="M1153" s="1520">
        <v>1</v>
      </c>
      <c r="N1153" s="1520">
        <v>1</v>
      </c>
      <c r="O1153" s="1520">
        <v>2</v>
      </c>
    </row>
    <row r="1154" spans="3:15" ht="13.5">
      <c r="C1154" s="1526" t="s">
        <v>5112</v>
      </c>
      <c r="D1154" s="1523">
        <v>1</v>
      </c>
      <c r="E1154" s="1523">
        <v>1</v>
      </c>
      <c r="F1154" s="1524">
        <v>2</v>
      </c>
      <c r="G1154" s="1537" t="s">
        <v>5112</v>
      </c>
      <c r="H1154" s="1521">
        <v>1</v>
      </c>
      <c r="I1154" s="1521">
        <v>1</v>
      </c>
      <c r="J1154" s="1538">
        <v>2</v>
      </c>
      <c r="K1154" s="1525"/>
      <c r="L1154" s="1519">
        <v>13103030305</v>
      </c>
      <c r="M1154" s="1520">
        <v>1</v>
      </c>
      <c r="N1154" s="1520">
        <v>1</v>
      </c>
      <c r="O1154" s="1520">
        <v>2</v>
      </c>
    </row>
    <row r="1155" spans="3:15" ht="13.5">
      <c r="C1155" s="1526" t="s">
        <v>5113</v>
      </c>
      <c r="D1155" s="1523">
        <v>1</v>
      </c>
      <c r="E1155" s="1523">
        <v>1</v>
      </c>
      <c r="F1155" s="1524">
        <v>2</v>
      </c>
      <c r="G1155" s="1537" t="s">
        <v>5113</v>
      </c>
      <c r="H1155" s="1521">
        <v>1</v>
      </c>
      <c r="I1155" s="1521">
        <v>1</v>
      </c>
      <c r="J1155" s="1538">
        <v>2</v>
      </c>
      <c r="K1155" s="1525"/>
      <c r="L1155" s="1519">
        <v>13103030401</v>
      </c>
      <c r="M1155" s="1520">
        <v>1</v>
      </c>
      <c r="N1155" s="1520">
        <v>1</v>
      </c>
      <c r="O1155" s="1520">
        <v>2</v>
      </c>
    </row>
    <row r="1156" spans="3:15" ht="13.5">
      <c r="C1156" s="1526" t="s">
        <v>5114</v>
      </c>
      <c r="D1156" s="1523">
        <v>1</v>
      </c>
      <c r="E1156" s="1523">
        <v>1</v>
      </c>
      <c r="F1156" s="1524">
        <v>2</v>
      </c>
      <c r="G1156" s="1537" t="s">
        <v>5114</v>
      </c>
      <c r="H1156" s="1521">
        <v>1</v>
      </c>
      <c r="I1156" s="1521">
        <v>1</v>
      </c>
      <c r="J1156" s="1538">
        <v>2</v>
      </c>
      <c r="K1156" s="1525"/>
      <c r="L1156" s="1519">
        <v>13103030402</v>
      </c>
      <c r="M1156" s="1520">
        <v>1</v>
      </c>
      <c r="N1156" s="1520">
        <v>1</v>
      </c>
      <c r="O1156" s="1520">
        <v>2</v>
      </c>
    </row>
    <row r="1157" spans="3:15" ht="13.5">
      <c r="C1157" s="1526" t="s">
        <v>5115</v>
      </c>
      <c r="D1157" s="1523">
        <v>0</v>
      </c>
      <c r="E1157" s="1523">
        <v>0</v>
      </c>
      <c r="F1157" s="1524">
        <v>0</v>
      </c>
      <c r="G1157" s="1537" t="s">
        <v>5115</v>
      </c>
      <c r="H1157" s="1521">
        <v>0</v>
      </c>
      <c r="I1157" s="1521">
        <v>0</v>
      </c>
      <c r="J1157" s="1538">
        <v>0</v>
      </c>
      <c r="K1157" s="1525"/>
      <c r="L1157" s="1519">
        <v>13105000100</v>
      </c>
      <c r="M1157" s="1520">
        <v>0</v>
      </c>
      <c r="N1157" s="1520">
        <v>0</v>
      </c>
      <c r="O1157" s="1520">
        <v>0</v>
      </c>
    </row>
    <row r="1158" spans="3:15" ht="13.5">
      <c r="C1158" s="1526" t="s">
        <v>5116</v>
      </c>
      <c r="D1158" s="1523">
        <v>0</v>
      </c>
      <c r="E1158" s="1523">
        <v>0</v>
      </c>
      <c r="F1158" s="1524">
        <v>0</v>
      </c>
      <c r="G1158" s="1537" t="s">
        <v>5116</v>
      </c>
      <c r="H1158" s="1521">
        <v>0</v>
      </c>
      <c r="I1158" s="1521">
        <v>0</v>
      </c>
      <c r="J1158" s="1538">
        <v>0</v>
      </c>
      <c r="K1158" s="1525"/>
      <c r="L1158" s="1519">
        <v>13105000200</v>
      </c>
      <c r="M1158" s="1520">
        <v>0</v>
      </c>
      <c r="N1158" s="1520">
        <v>0</v>
      </c>
      <c r="O1158" s="1520">
        <v>0</v>
      </c>
    </row>
    <row r="1159" spans="3:15" ht="13.5">
      <c r="C1159" s="1526" t="s">
        <v>5117</v>
      </c>
      <c r="D1159" s="1523">
        <v>0</v>
      </c>
      <c r="E1159" s="1523">
        <v>0</v>
      </c>
      <c r="F1159" s="1524">
        <v>0</v>
      </c>
      <c r="G1159" s="1537" t="s">
        <v>5117</v>
      </c>
      <c r="H1159" s="1521">
        <v>0</v>
      </c>
      <c r="I1159" s="1521">
        <v>0</v>
      </c>
      <c r="J1159" s="1538">
        <v>0</v>
      </c>
      <c r="K1159" s="1525"/>
      <c r="L1159" s="1519">
        <v>13105000300</v>
      </c>
      <c r="M1159" s="1520">
        <v>0</v>
      </c>
      <c r="N1159" s="1520">
        <v>0</v>
      </c>
      <c r="O1159" s="1520">
        <v>0</v>
      </c>
    </row>
    <row r="1160" spans="3:15" ht="13.5">
      <c r="C1160" s="1526" t="s">
        <v>5118</v>
      </c>
      <c r="D1160" s="1523">
        <v>0</v>
      </c>
      <c r="E1160" s="1523">
        <v>0</v>
      </c>
      <c r="F1160" s="1524">
        <v>0</v>
      </c>
      <c r="G1160" s="1537" t="s">
        <v>5118</v>
      </c>
      <c r="H1160" s="1521">
        <v>0</v>
      </c>
      <c r="I1160" s="1521">
        <v>0</v>
      </c>
      <c r="J1160" s="1538">
        <v>0</v>
      </c>
      <c r="K1160" s="1525"/>
      <c r="L1160" s="1519">
        <v>13105000400</v>
      </c>
      <c r="M1160" s="1520">
        <v>0</v>
      </c>
      <c r="N1160" s="1520">
        <v>0</v>
      </c>
      <c r="O1160" s="1520">
        <v>0</v>
      </c>
    </row>
    <row r="1161" spans="3:15" ht="13.5">
      <c r="C1161" s="1526" t="s">
        <v>5119</v>
      </c>
      <c r="D1161" s="1523">
        <v>0</v>
      </c>
      <c r="E1161" s="1523">
        <v>0</v>
      </c>
      <c r="F1161" s="1524">
        <v>0</v>
      </c>
      <c r="G1161" s="1537" t="s">
        <v>5119</v>
      </c>
      <c r="H1161" s="1521">
        <v>0</v>
      </c>
      <c r="I1161" s="1521">
        <v>1</v>
      </c>
      <c r="J1161" s="1538">
        <v>1</v>
      </c>
      <c r="K1161" s="1525"/>
      <c r="L1161" s="1519">
        <v>13105000500</v>
      </c>
      <c r="M1161" s="1520">
        <v>0</v>
      </c>
      <c r="N1161" s="1520">
        <v>1</v>
      </c>
      <c r="O1161" s="1520">
        <v>1</v>
      </c>
    </row>
    <row r="1162" spans="3:15" ht="13.5">
      <c r="C1162" s="1526" t="s">
        <v>5120</v>
      </c>
      <c r="D1162" s="1523">
        <v>0</v>
      </c>
      <c r="E1162" s="1523">
        <v>0</v>
      </c>
      <c r="F1162" s="1524">
        <v>0</v>
      </c>
      <c r="G1162" s="1537" t="s">
        <v>5120</v>
      </c>
      <c r="H1162" s="1521">
        <v>0</v>
      </c>
      <c r="I1162" s="1521">
        <v>0</v>
      </c>
      <c r="J1162" s="1538">
        <v>0</v>
      </c>
      <c r="K1162" s="1525"/>
      <c r="L1162" s="1519">
        <v>13107970100</v>
      </c>
      <c r="M1162" s="1520">
        <v>0</v>
      </c>
      <c r="N1162" s="1520">
        <v>0</v>
      </c>
      <c r="O1162" s="1520">
        <v>0</v>
      </c>
    </row>
    <row r="1163" spans="3:15" ht="13.5">
      <c r="C1163" s="1526" t="s">
        <v>5121</v>
      </c>
      <c r="D1163" s="1523">
        <v>0</v>
      </c>
      <c r="E1163" s="1523">
        <v>0</v>
      </c>
      <c r="F1163" s="1524">
        <v>0</v>
      </c>
      <c r="G1163" s="1537" t="s">
        <v>5121</v>
      </c>
      <c r="H1163" s="1521">
        <v>0</v>
      </c>
      <c r="I1163" s="1521">
        <v>0</v>
      </c>
      <c r="J1163" s="1538">
        <v>0</v>
      </c>
      <c r="K1163" s="1525"/>
      <c r="L1163" s="1519">
        <v>13107970200</v>
      </c>
      <c r="M1163" s="1520">
        <v>0</v>
      </c>
      <c r="N1163" s="1520">
        <v>0</v>
      </c>
      <c r="O1163" s="1520">
        <v>0</v>
      </c>
    </row>
    <row r="1164" spans="3:15" ht="13.5">
      <c r="C1164" s="1526" t="s">
        <v>5122</v>
      </c>
      <c r="D1164" s="1523">
        <v>0</v>
      </c>
      <c r="E1164" s="1523">
        <v>0</v>
      </c>
      <c r="F1164" s="1524">
        <v>0</v>
      </c>
      <c r="G1164" s="1537" t="s">
        <v>5122</v>
      </c>
      <c r="H1164" s="1521">
        <v>0</v>
      </c>
      <c r="I1164" s="1521">
        <v>0</v>
      </c>
      <c r="J1164" s="1538">
        <v>0</v>
      </c>
      <c r="K1164" s="1525"/>
      <c r="L1164" s="1519">
        <v>13107970300</v>
      </c>
      <c r="M1164" s="1520">
        <v>0</v>
      </c>
      <c r="N1164" s="1520">
        <v>0</v>
      </c>
      <c r="O1164" s="1520">
        <v>0</v>
      </c>
    </row>
    <row r="1165" spans="3:15" ht="13.5">
      <c r="C1165" s="1526" t="s">
        <v>5123</v>
      </c>
      <c r="D1165" s="1523">
        <v>0</v>
      </c>
      <c r="E1165" s="1523">
        <v>0</v>
      </c>
      <c r="F1165" s="1524">
        <v>0</v>
      </c>
      <c r="G1165" s="1537" t="s">
        <v>5123</v>
      </c>
      <c r="H1165" s="1521">
        <v>0</v>
      </c>
      <c r="I1165" s="1521">
        <v>0</v>
      </c>
      <c r="J1165" s="1538">
        <v>0</v>
      </c>
      <c r="K1165" s="1525"/>
      <c r="L1165" s="1519">
        <v>13107970400</v>
      </c>
      <c r="M1165" s="1520">
        <v>0</v>
      </c>
      <c r="N1165" s="1520">
        <v>0</v>
      </c>
      <c r="O1165" s="1520">
        <v>0</v>
      </c>
    </row>
    <row r="1166" spans="3:15" ht="13.5">
      <c r="C1166" s="1526" t="s">
        <v>5124</v>
      </c>
      <c r="D1166" s="1523">
        <v>0</v>
      </c>
      <c r="E1166" s="1523">
        <v>0</v>
      </c>
      <c r="F1166" s="1524">
        <v>0</v>
      </c>
      <c r="G1166" s="1537" t="s">
        <v>5124</v>
      </c>
      <c r="H1166" s="1521">
        <v>0</v>
      </c>
      <c r="I1166" s="1521">
        <v>0</v>
      </c>
      <c r="J1166" s="1538">
        <v>0</v>
      </c>
      <c r="K1166" s="1525"/>
      <c r="L1166" s="1519">
        <v>13107970500</v>
      </c>
      <c r="M1166" s="1520">
        <v>0</v>
      </c>
      <c r="N1166" s="1520">
        <v>0</v>
      </c>
      <c r="O1166" s="1520">
        <v>0</v>
      </c>
    </row>
    <row r="1167" spans="3:15" ht="13.5">
      <c r="C1167" s="1526" t="s">
        <v>5125</v>
      </c>
      <c r="D1167" s="1523">
        <v>0</v>
      </c>
      <c r="E1167" s="1523">
        <v>0</v>
      </c>
      <c r="F1167" s="1524">
        <v>0</v>
      </c>
      <c r="G1167" s="1537" t="s">
        <v>5125</v>
      </c>
      <c r="H1167" s="1521">
        <v>0</v>
      </c>
      <c r="I1167" s="1521">
        <v>0</v>
      </c>
      <c r="J1167" s="1538">
        <v>0</v>
      </c>
      <c r="K1167" s="1525"/>
      <c r="L1167" s="1519">
        <v>13107970600</v>
      </c>
      <c r="M1167" s="1520">
        <v>0</v>
      </c>
      <c r="N1167" s="1520">
        <v>0</v>
      </c>
      <c r="O1167" s="1520">
        <v>0</v>
      </c>
    </row>
    <row r="1168" spans="3:15" ht="13.5">
      <c r="C1168" s="1526" t="s">
        <v>5126</v>
      </c>
      <c r="D1168" s="1523">
        <v>0</v>
      </c>
      <c r="E1168" s="1523">
        <v>0</v>
      </c>
      <c r="F1168" s="1524">
        <v>0</v>
      </c>
      <c r="G1168" s="1537" t="s">
        <v>5126</v>
      </c>
      <c r="H1168" s="1521">
        <v>0</v>
      </c>
      <c r="I1168" s="1521">
        <v>0</v>
      </c>
      <c r="J1168" s="1538">
        <v>0</v>
      </c>
      <c r="K1168" s="1525"/>
      <c r="L1168" s="1519">
        <v>13109970100</v>
      </c>
      <c r="M1168" s="1520">
        <v>0</v>
      </c>
      <c r="N1168" s="1520">
        <v>0</v>
      </c>
      <c r="O1168" s="1520">
        <v>0</v>
      </c>
    </row>
    <row r="1169" spans="3:15" ht="13.5">
      <c r="C1169" s="1526" t="s">
        <v>5127</v>
      </c>
      <c r="D1169" s="1523">
        <v>0</v>
      </c>
      <c r="E1169" s="1523">
        <v>0</v>
      </c>
      <c r="F1169" s="1524">
        <v>0</v>
      </c>
      <c r="G1169" s="1537" t="s">
        <v>5127</v>
      </c>
      <c r="H1169" s="1521">
        <v>0</v>
      </c>
      <c r="I1169" s="1521">
        <v>0</v>
      </c>
      <c r="J1169" s="1538">
        <v>0</v>
      </c>
      <c r="K1169" s="1525"/>
      <c r="L1169" s="1519">
        <v>13109970200</v>
      </c>
      <c r="M1169" s="1520">
        <v>0</v>
      </c>
      <c r="N1169" s="1520">
        <v>0</v>
      </c>
      <c r="O1169" s="1520">
        <v>0</v>
      </c>
    </row>
    <row r="1170" spans="3:15" ht="13.5">
      <c r="C1170" s="1526" t="s">
        <v>5128</v>
      </c>
      <c r="D1170" s="1523">
        <v>0</v>
      </c>
      <c r="E1170" s="1523">
        <v>0</v>
      </c>
      <c r="F1170" s="1524">
        <v>0</v>
      </c>
      <c r="G1170" s="1537" t="s">
        <v>5128</v>
      </c>
      <c r="H1170" s="1521">
        <v>0</v>
      </c>
      <c r="I1170" s="1521">
        <v>0</v>
      </c>
      <c r="J1170" s="1538">
        <v>0</v>
      </c>
      <c r="K1170" s="1525"/>
      <c r="L1170" s="1519">
        <v>13109970300</v>
      </c>
      <c r="M1170" s="1520">
        <v>0</v>
      </c>
      <c r="N1170" s="1520">
        <v>0</v>
      </c>
      <c r="O1170" s="1520">
        <v>0</v>
      </c>
    </row>
    <row r="1171" spans="3:15" ht="13.5">
      <c r="C1171" s="1526" t="s">
        <v>5129</v>
      </c>
      <c r="D1171" s="1523">
        <v>0</v>
      </c>
      <c r="E1171" s="1523">
        <v>0</v>
      </c>
      <c r="F1171" s="1524">
        <v>0</v>
      </c>
      <c r="G1171" s="1537" t="s">
        <v>5129</v>
      </c>
      <c r="H1171" s="1521">
        <v>0</v>
      </c>
      <c r="I1171" s="1521">
        <v>0</v>
      </c>
      <c r="J1171" s="1538">
        <v>0</v>
      </c>
      <c r="K1171" s="1525"/>
      <c r="L1171" s="1519">
        <v>13111050100</v>
      </c>
      <c r="M1171" s="1520">
        <v>0</v>
      </c>
      <c r="N1171" s="1520">
        <v>0</v>
      </c>
      <c r="O1171" s="1520">
        <v>0</v>
      </c>
    </row>
    <row r="1172" spans="3:15" ht="13.5">
      <c r="C1172" s="1526" t="s">
        <v>5130</v>
      </c>
      <c r="D1172" s="1523">
        <v>0</v>
      </c>
      <c r="E1172" s="1523">
        <v>0</v>
      </c>
      <c r="F1172" s="1524">
        <v>0</v>
      </c>
      <c r="G1172" s="1537" t="s">
        <v>5130</v>
      </c>
      <c r="H1172" s="1521">
        <v>0</v>
      </c>
      <c r="I1172" s="1521">
        <v>0</v>
      </c>
      <c r="J1172" s="1538">
        <v>0</v>
      </c>
      <c r="K1172" s="1525"/>
      <c r="L1172" s="1519">
        <v>13111050200</v>
      </c>
      <c r="M1172" s="1520">
        <v>0</v>
      </c>
      <c r="N1172" s="1520">
        <v>0</v>
      </c>
      <c r="O1172" s="1520">
        <v>0</v>
      </c>
    </row>
    <row r="1173" spans="3:15" ht="13.5">
      <c r="C1173" s="1526" t="s">
        <v>5131</v>
      </c>
      <c r="D1173" s="1523">
        <v>0</v>
      </c>
      <c r="E1173" s="1523">
        <v>0</v>
      </c>
      <c r="F1173" s="1524">
        <v>0</v>
      </c>
      <c r="G1173" s="1537" t="s">
        <v>5131</v>
      </c>
      <c r="H1173" s="1521">
        <v>0</v>
      </c>
      <c r="I1173" s="1521" t="s">
        <v>4096</v>
      </c>
      <c r="J1173" s="1538">
        <v>0</v>
      </c>
      <c r="K1173" s="1525"/>
      <c r="L1173" s="1519">
        <v>13111050300</v>
      </c>
      <c r="M1173" s="1520">
        <v>0</v>
      </c>
      <c r="N1173" s="1520">
        <v>0</v>
      </c>
      <c r="O1173" s="1520">
        <v>0</v>
      </c>
    </row>
    <row r="1174" spans="3:15" ht="13.5">
      <c r="C1174" s="1526" t="s">
        <v>5132</v>
      </c>
      <c r="D1174" s="1523">
        <v>0</v>
      </c>
      <c r="E1174" s="1523">
        <v>0</v>
      </c>
      <c r="F1174" s="1524">
        <v>0</v>
      </c>
      <c r="G1174" s="1537" t="s">
        <v>5132</v>
      </c>
      <c r="H1174" s="1521">
        <v>0</v>
      </c>
      <c r="I1174" s="1521">
        <v>1</v>
      </c>
      <c r="J1174" s="1538">
        <v>1</v>
      </c>
      <c r="K1174" s="1525"/>
      <c r="L1174" s="1519">
        <v>13111050400</v>
      </c>
      <c r="M1174" s="1520">
        <v>0</v>
      </c>
      <c r="N1174" s="1520">
        <v>1</v>
      </c>
      <c r="O1174" s="1520">
        <v>1</v>
      </c>
    </row>
    <row r="1175" spans="3:15" ht="13.5">
      <c r="C1175" s="1526" t="s">
        <v>5133</v>
      </c>
      <c r="D1175" s="1523">
        <v>0</v>
      </c>
      <c r="E1175" s="1523">
        <v>0</v>
      </c>
      <c r="F1175" s="1524">
        <v>0</v>
      </c>
      <c r="G1175" s="1537" t="s">
        <v>5133</v>
      </c>
      <c r="H1175" s="1521">
        <v>1</v>
      </c>
      <c r="I1175" s="1521">
        <v>0</v>
      </c>
      <c r="J1175" s="1538">
        <v>1</v>
      </c>
      <c r="K1175" s="1525"/>
      <c r="L1175" s="1519">
        <v>13111050500</v>
      </c>
      <c r="M1175" s="1520">
        <v>1</v>
      </c>
      <c r="N1175" s="1520">
        <v>0</v>
      </c>
      <c r="O1175" s="1520">
        <v>1</v>
      </c>
    </row>
    <row r="1176" spans="3:15" ht="13.5">
      <c r="C1176" s="1526" t="s">
        <v>5134</v>
      </c>
      <c r="D1176" s="1523">
        <v>1</v>
      </c>
      <c r="E1176" s="1523">
        <v>0</v>
      </c>
      <c r="F1176" s="1524">
        <v>1</v>
      </c>
      <c r="G1176" s="1537" t="s">
        <v>5134</v>
      </c>
      <c r="H1176" s="1521">
        <v>1</v>
      </c>
      <c r="I1176" s="1521">
        <v>1</v>
      </c>
      <c r="J1176" s="1538">
        <v>2</v>
      </c>
      <c r="K1176" s="1525"/>
      <c r="L1176" s="1519">
        <v>13113140101</v>
      </c>
      <c r="M1176" s="1520">
        <v>1</v>
      </c>
      <c r="N1176" s="1520">
        <v>1</v>
      </c>
      <c r="O1176" s="1520">
        <v>2</v>
      </c>
    </row>
    <row r="1177" spans="3:15" ht="13.5">
      <c r="C1177" s="1526" t="s">
        <v>5135</v>
      </c>
      <c r="D1177" s="1523">
        <v>1</v>
      </c>
      <c r="E1177" s="1523">
        <v>1</v>
      </c>
      <c r="F1177" s="1524">
        <v>2</v>
      </c>
      <c r="G1177" s="1537" t="s">
        <v>5135</v>
      </c>
      <c r="H1177" s="1521">
        <v>1</v>
      </c>
      <c r="I1177" s="1521">
        <v>1</v>
      </c>
      <c r="J1177" s="1538">
        <v>2</v>
      </c>
      <c r="K1177" s="1525"/>
      <c r="L1177" s="1519">
        <v>13113140102</v>
      </c>
      <c r="M1177" s="1520">
        <v>1</v>
      </c>
      <c r="N1177" s="1520">
        <v>1</v>
      </c>
      <c r="O1177" s="1520">
        <v>2</v>
      </c>
    </row>
    <row r="1178" spans="3:15" ht="13.5">
      <c r="C1178" s="1526" t="s">
        <v>5136</v>
      </c>
      <c r="D1178" s="1523">
        <v>1</v>
      </c>
      <c r="E1178" s="1523">
        <v>1</v>
      </c>
      <c r="F1178" s="1524">
        <v>2</v>
      </c>
      <c r="G1178" s="1537" t="s">
        <v>5136</v>
      </c>
      <c r="H1178" s="1521">
        <v>1</v>
      </c>
      <c r="I1178" s="1521">
        <v>1</v>
      </c>
      <c r="J1178" s="1538">
        <v>2</v>
      </c>
      <c r="K1178" s="1525"/>
      <c r="L1178" s="1519">
        <v>13113140203</v>
      </c>
      <c r="M1178" s="1520">
        <v>1</v>
      </c>
      <c r="N1178" s="1520">
        <v>1</v>
      </c>
      <c r="O1178" s="1520">
        <v>2</v>
      </c>
    </row>
    <row r="1179" spans="3:15" ht="13.5">
      <c r="C1179" s="1526" t="s">
        <v>5137</v>
      </c>
      <c r="D1179" s="1523">
        <v>1</v>
      </c>
      <c r="E1179" s="1523">
        <v>1</v>
      </c>
      <c r="F1179" s="1524">
        <v>2</v>
      </c>
      <c r="G1179" s="1537" t="s">
        <v>5137</v>
      </c>
      <c r="H1179" s="1521">
        <v>1</v>
      </c>
      <c r="I1179" s="1521">
        <v>1</v>
      </c>
      <c r="J1179" s="1538">
        <v>2</v>
      </c>
      <c r="K1179" s="1525"/>
      <c r="L1179" s="1519">
        <v>13113140204</v>
      </c>
      <c r="M1179" s="1520">
        <v>1</v>
      </c>
      <c r="N1179" s="1520">
        <v>1</v>
      </c>
      <c r="O1179" s="1520">
        <v>2</v>
      </c>
    </row>
    <row r="1180" spans="3:15" ht="13.5">
      <c r="C1180" s="1526" t="s">
        <v>5138</v>
      </c>
      <c r="D1180" s="1523">
        <v>1</v>
      </c>
      <c r="E1180" s="1523">
        <v>1</v>
      </c>
      <c r="F1180" s="1524">
        <v>2</v>
      </c>
      <c r="G1180" s="1537" t="s">
        <v>5138</v>
      </c>
      <c r="H1180" s="1521">
        <v>1</v>
      </c>
      <c r="I1180" s="1521">
        <v>1</v>
      </c>
      <c r="J1180" s="1538">
        <v>2</v>
      </c>
      <c r="K1180" s="1525"/>
      <c r="L1180" s="1519">
        <v>13113140206</v>
      </c>
      <c r="M1180" s="1520">
        <v>1</v>
      </c>
      <c r="N1180" s="1520">
        <v>1</v>
      </c>
      <c r="O1180" s="1520">
        <v>2</v>
      </c>
    </row>
    <row r="1181" spans="3:15" ht="13.5">
      <c r="C1181" s="1526" t="s">
        <v>5139</v>
      </c>
      <c r="D1181" s="1523">
        <v>1</v>
      </c>
      <c r="E1181" s="1523">
        <v>1</v>
      </c>
      <c r="F1181" s="1524">
        <v>2</v>
      </c>
      <c r="G1181" s="1537" t="s">
        <v>5139</v>
      </c>
      <c r="H1181" s="1521">
        <v>1</v>
      </c>
      <c r="I1181" s="1521">
        <v>1</v>
      </c>
      <c r="J1181" s="1538">
        <v>2</v>
      </c>
      <c r="K1181" s="1525"/>
      <c r="L1181" s="1519">
        <v>13113140207</v>
      </c>
      <c r="M1181" s="1520">
        <v>1</v>
      </c>
      <c r="N1181" s="1520">
        <v>1</v>
      </c>
      <c r="O1181" s="1520">
        <v>2</v>
      </c>
    </row>
    <row r="1182" spans="3:15" ht="13.5">
      <c r="C1182" s="1526" t="s">
        <v>5140</v>
      </c>
      <c r="D1182" s="1523">
        <v>1</v>
      </c>
      <c r="E1182" s="1523">
        <v>1</v>
      </c>
      <c r="F1182" s="1524">
        <v>2</v>
      </c>
      <c r="G1182" s="1537" t="s">
        <v>5140</v>
      </c>
      <c r="H1182" s="1521">
        <v>1</v>
      </c>
      <c r="I1182" s="1521">
        <v>1</v>
      </c>
      <c r="J1182" s="1538">
        <v>2</v>
      </c>
      <c r="K1182" s="1525"/>
      <c r="L1182" s="1519">
        <v>13113140208</v>
      </c>
      <c r="M1182" s="1520">
        <v>1</v>
      </c>
      <c r="N1182" s="1520">
        <v>1</v>
      </c>
      <c r="O1182" s="1520">
        <v>2</v>
      </c>
    </row>
    <row r="1183" spans="3:15" ht="13.5">
      <c r="C1183" s="1526" t="s">
        <v>5141</v>
      </c>
      <c r="D1183" s="1523">
        <v>1</v>
      </c>
      <c r="E1183" s="1523">
        <v>1</v>
      </c>
      <c r="F1183" s="1524">
        <v>2</v>
      </c>
      <c r="G1183" s="1537" t="s">
        <v>5141</v>
      </c>
      <c r="H1183" s="1521">
        <v>1</v>
      </c>
      <c r="I1183" s="1521">
        <v>1</v>
      </c>
      <c r="J1183" s="1538">
        <v>2</v>
      </c>
      <c r="K1183" s="1525"/>
      <c r="L1183" s="1519">
        <v>13113140303</v>
      </c>
      <c r="M1183" s="1520">
        <v>1</v>
      </c>
      <c r="N1183" s="1520">
        <v>1</v>
      </c>
      <c r="O1183" s="1520">
        <v>2</v>
      </c>
    </row>
    <row r="1184" spans="3:15" ht="13.5">
      <c r="C1184" s="1526" t="s">
        <v>5142</v>
      </c>
      <c r="D1184" s="1523">
        <v>1</v>
      </c>
      <c r="E1184" s="1523">
        <v>1</v>
      </c>
      <c r="F1184" s="1524">
        <v>2</v>
      </c>
      <c r="G1184" s="1537" t="s">
        <v>5142</v>
      </c>
      <c r="H1184" s="1521">
        <v>1</v>
      </c>
      <c r="I1184" s="1521">
        <v>1</v>
      </c>
      <c r="J1184" s="1538">
        <v>2</v>
      </c>
      <c r="K1184" s="1525"/>
      <c r="L1184" s="1519">
        <v>13113140304</v>
      </c>
      <c r="M1184" s="1520">
        <v>1</v>
      </c>
      <c r="N1184" s="1520">
        <v>1</v>
      </c>
      <c r="O1184" s="1520">
        <v>2</v>
      </c>
    </row>
    <row r="1185" spans="3:15" ht="13.5">
      <c r="C1185" s="1526" t="s">
        <v>5143</v>
      </c>
      <c r="D1185" s="1523">
        <v>1</v>
      </c>
      <c r="E1185" s="1523">
        <v>1</v>
      </c>
      <c r="F1185" s="1524">
        <v>2</v>
      </c>
      <c r="G1185" s="1537" t="s">
        <v>5143</v>
      </c>
      <c r="H1185" s="1521">
        <v>1</v>
      </c>
      <c r="I1185" s="1521">
        <v>1</v>
      </c>
      <c r="J1185" s="1538">
        <v>2</v>
      </c>
      <c r="K1185" s="1525"/>
      <c r="L1185" s="1519">
        <v>13113140305</v>
      </c>
      <c r="M1185" s="1520">
        <v>1</v>
      </c>
      <c r="N1185" s="1520">
        <v>1</v>
      </c>
      <c r="O1185" s="1520">
        <v>2</v>
      </c>
    </row>
    <row r="1186" spans="3:15" ht="13.5">
      <c r="C1186" s="1526" t="s">
        <v>5144</v>
      </c>
      <c r="D1186" s="1523">
        <v>1</v>
      </c>
      <c r="E1186" s="1523">
        <v>1</v>
      </c>
      <c r="F1186" s="1524">
        <v>2</v>
      </c>
      <c r="G1186" s="1537" t="s">
        <v>5144</v>
      </c>
      <c r="H1186" s="1521">
        <v>1</v>
      </c>
      <c r="I1186" s="1521">
        <v>1</v>
      </c>
      <c r="J1186" s="1538">
        <v>2</v>
      </c>
      <c r="K1186" s="1525"/>
      <c r="L1186" s="1519">
        <v>13113140306</v>
      </c>
      <c r="M1186" s="1520">
        <v>1</v>
      </c>
      <c r="N1186" s="1520">
        <v>1</v>
      </c>
      <c r="O1186" s="1520">
        <v>2</v>
      </c>
    </row>
    <row r="1187" spans="3:15" ht="13.5">
      <c r="C1187" s="1526" t="s">
        <v>5145</v>
      </c>
      <c r="D1187" s="1523">
        <v>1</v>
      </c>
      <c r="E1187" s="1523">
        <v>1</v>
      </c>
      <c r="F1187" s="1524">
        <v>2</v>
      </c>
      <c r="G1187" s="1537" t="s">
        <v>5145</v>
      </c>
      <c r="H1187" s="1521">
        <v>1</v>
      </c>
      <c r="I1187" s="1521">
        <v>1</v>
      </c>
      <c r="J1187" s="1538">
        <v>2</v>
      </c>
      <c r="K1187" s="1525"/>
      <c r="L1187" s="1519">
        <v>13113140307</v>
      </c>
      <c r="M1187" s="1520">
        <v>1</v>
      </c>
      <c r="N1187" s="1520">
        <v>1</v>
      </c>
      <c r="O1187" s="1520">
        <v>2</v>
      </c>
    </row>
    <row r="1188" spans="3:15" ht="13.5">
      <c r="C1188" s="1526" t="s">
        <v>5146</v>
      </c>
      <c r="D1188" s="1523">
        <v>1</v>
      </c>
      <c r="E1188" s="1523">
        <v>1</v>
      </c>
      <c r="F1188" s="1524">
        <v>2</v>
      </c>
      <c r="G1188" s="1537" t="s">
        <v>5146</v>
      </c>
      <c r="H1188" s="1521">
        <v>1</v>
      </c>
      <c r="I1188" s="1521">
        <v>1</v>
      </c>
      <c r="J1188" s="1538">
        <v>2</v>
      </c>
      <c r="K1188" s="1525"/>
      <c r="L1188" s="1519">
        <v>13113140403</v>
      </c>
      <c r="M1188" s="1520">
        <v>1</v>
      </c>
      <c r="N1188" s="1520">
        <v>1</v>
      </c>
      <c r="O1188" s="1520">
        <v>2</v>
      </c>
    </row>
    <row r="1189" spans="3:15" ht="13.5">
      <c r="C1189" s="1526" t="s">
        <v>5147</v>
      </c>
      <c r="D1189" s="1523">
        <v>1</v>
      </c>
      <c r="E1189" s="1523">
        <v>1</v>
      </c>
      <c r="F1189" s="1524">
        <v>2</v>
      </c>
      <c r="G1189" s="1537" t="s">
        <v>5147</v>
      </c>
      <c r="H1189" s="1521">
        <v>1</v>
      </c>
      <c r="I1189" s="1521">
        <v>1</v>
      </c>
      <c r="J1189" s="1538">
        <v>2</v>
      </c>
      <c r="K1189" s="1525"/>
      <c r="L1189" s="1519">
        <v>13113140404</v>
      </c>
      <c r="M1189" s="1520">
        <v>1</v>
      </c>
      <c r="N1189" s="1520">
        <v>1</v>
      </c>
      <c r="O1189" s="1520">
        <v>2</v>
      </c>
    </row>
    <row r="1190" spans="3:15" ht="13.5">
      <c r="C1190" s="1526" t="s">
        <v>5148</v>
      </c>
      <c r="D1190" s="1523">
        <v>1</v>
      </c>
      <c r="E1190" s="1523">
        <v>1</v>
      </c>
      <c r="F1190" s="1524">
        <v>2</v>
      </c>
      <c r="G1190" s="1537" t="s">
        <v>5148</v>
      </c>
      <c r="H1190" s="1521">
        <v>1</v>
      </c>
      <c r="I1190" s="1521">
        <v>1</v>
      </c>
      <c r="J1190" s="1538">
        <v>2</v>
      </c>
      <c r="K1190" s="1525"/>
      <c r="L1190" s="1519">
        <v>13113140405</v>
      </c>
      <c r="M1190" s="1520">
        <v>1</v>
      </c>
      <c r="N1190" s="1520">
        <v>1</v>
      </c>
      <c r="O1190" s="1520">
        <v>2</v>
      </c>
    </row>
    <row r="1191" spans="3:15" ht="13.5">
      <c r="C1191" s="1526" t="s">
        <v>5149</v>
      </c>
      <c r="D1191" s="1523">
        <v>0</v>
      </c>
      <c r="E1191" s="1523">
        <v>1</v>
      </c>
      <c r="F1191" s="1524">
        <v>1</v>
      </c>
      <c r="G1191" s="1537" t="s">
        <v>5149</v>
      </c>
      <c r="H1191" s="1521">
        <v>0</v>
      </c>
      <c r="I1191" s="1521">
        <v>1</v>
      </c>
      <c r="J1191" s="1538">
        <v>1</v>
      </c>
      <c r="K1191" s="1525"/>
      <c r="L1191" s="1519">
        <v>13113140406</v>
      </c>
      <c r="M1191" s="1520">
        <v>0</v>
      </c>
      <c r="N1191" s="1520">
        <v>1</v>
      </c>
      <c r="O1191" s="1520">
        <v>1</v>
      </c>
    </row>
    <row r="1192" spans="3:15" ht="13.5">
      <c r="C1192" s="1526" t="s">
        <v>5150</v>
      </c>
      <c r="D1192" s="1523">
        <v>1</v>
      </c>
      <c r="E1192" s="1523">
        <v>1</v>
      </c>
      <c r="F1192" s="1524">
        <v>2</v>
      </c>
      <c r="G1192" s="1537" t="s">
        <v>5150</v>
      </c>
      <c r="H1192" s="1521">
        <v>1</v>
      </c>
      <c r="I1192" s="1521">
        <v>1</v>
      </c>
      <c r="J1192" s="1538">
        <v>2</v>
      </c>
      <c r="K1192" s="1525"/>
      <c r="L1192" s="1519">
        <v>13113140407</v>
      </c>
      <c r="M1192" s="1520">
        <v>1</v>
      </c>
      <c r="N1192" s="1520">
        <v>1</v>
      </c>
      <c r="O1192" s="1520">
        <v>2</v>
      </c>
    </row>
    <row r="1193" spans="3:15" ht="13.5">
      <c r="C1193" s="1526" t="s">
        <v>5151</v>
      </c>
      <c r="D1193" s="1523">
        <v>1</v>
      </c>
      <c r="E1193" s="1523">
        <v>1</v>
      </c>
      <c r="F1193" s="1524">
        <v>2</v>
      </c>
      <c r="G1193" s="1537" t="s">
        <v>5151</v>
      </c>
      <c r="H1193" s="1521">
        <v>1</v>
      </c>
      <c r="I1193" s="1521">
        <v>1</v>
      </c>
      <c r="J1193" s="1538">
        <v>2</v>
      </c>
      <c r="K1193" s="1525"/>
      <c r="L1193" s="1519">
        <v>13113140408</v>
      </c>
      <c r="M1193" s="1520">
        <v>1</v>
      </c>
      <c r="N1193" s="1520">
        <v>1</v>
      </c>
      <c r="O1193" s="1520">
        <v>2</v>
      </c>
    </row>
    <row r="1194" spans="3:15" ht="13.5">
      <c r="C1194" s="1526" t="s">
        <v>5152</v>
      </c>
      <c r="D1194" s="1523">
        <v>1</v>
      </c>
      <c r="E1194" s="1523">
        <v>1</v>
      </c>
      <c r="F1194" s="1524">
        <v>2</v>
      </c>
      <c r="G1194" s="1537" t="s">
        <v>5152</v>
      </c>
      <c r="H1194" s="1521">
        <v>1</v>
      </c>
      <c r="I1194" s="1521">
        <v>1</v>
      </c>
      <c r="J1194" s="1538">
        <v>2</v>
      </c>
      <c r="K1194" s="1525"/>
      <c r="L1194" s="1519">
        <v>13113140501</v>
      </c>
      <c r="M1194" s="1520">
        <v>1</v>
      </c>
      <c r="N1194" s="1520">
        <v>1</v>
      </c>
      <c r="O1194" s="1520">
        <v>2</v>
      </c>
    </row>
    <row r="1195" spans="3:15" ht="13.5">
      <c r="C1195" s="1526" t="s">
        <v>5153</v>
      </c>
      <c r="D1195" s="1523">
        <v>1</v>
      </c>
      <c r="E1195" s="1523">
        <v>1</v>
      </c>
      <c r="F1195" s="1524">
        <v>2</v>
      </c>
      <c r="G1195" s="1537" t="s">
        <v>5153</v>
      </c>
      <c r="H1195" s="1521">
        <v>1</v>
      </c>
      <c r="I1195" s="1521">
        <v>1</v>
      </c>
      <c r="J1195" s="1538">
        <v>2</v>
      </c>
      <c r="K1195" s="1525"/>
      <c r="L1195" s="1519">
        <v>13113140502</v>
      </c>
      <c r="M1195" s="1520">
        <v>1</v>
      </c>
      <c r="N1195" s="1520">
        <v>1</v>
      </c>
      <c r="O1195" s="1520">
        <v>2</v>
      </c>
    </row>
    <row r="1196" spans="3:15" ht="13.5">
      <c r="C1196" s="1526" t="s">
        <v>5154</v>
      </c>
      <c r="D1196" s="1523">
        <v>0</v>
      </c>
      <c r="E1196" s="1523">
        <v>0</v>
      </c>
      <c r="F1196" s="1524">
        <v>0</v>
      </c>
      <c r="G1196" s="1537" t="s">
        <v>5154</v>
      </c>
      <c r="H1196" s="1521">
        <v>0</v>
      </c>
      <c r="I1196" s="1521">
        <v>1</v>
      </c>
      <c r="J1196" s="1538">
        <v>1</v>
      </c>
      <c r="K1196" s="1525"/>
      <c r="L1196" s="1519">
        <v>13115000100</v>
      </c>
      <c r="M1196" s="1520">
        <v>0</v>
      </c>
      <c r="N1196" s="1520">
        <v>1</v>
      </c>
      <c r="O1196" s="1520">
        <v>1</v>
      </c>
    </row>
    <row r="1197" spans="3:15" ht="13.5">
      <c r="C1197" s="1526" t="s">
        <v>5155</v>
      </c>
      <c r="D1197" s="1523">
        <v>1</v>
      </c>
      <c r="E1197" s="1523">
        <v>1</v>
      </c>
      <c r="F1197" s="1524">
        <v>2</v>
      </c>
      <c r="G1197" s="1537" t="s">
        <v>5155</v>
      </c>
      <c r="H1197" s="1521">
        <v>1</v>
      </c>
      <c r="I1197" s="1521">
        <v>0</v>
      </c>
      <c r="J1197" s="1538">
        <v>1</v>
      </c>
      <c r="K1197" s="1525"/>
      <c r="L1197" s="1519">
        <v>13115000201</v>
      </c>
      <c r="M1197" s="1520">
        <v>1</v>
      </c>
      <c r="N1197" s="1520">
        <v>1</v>
      </c>
      <c r="O1197" s="1520">
        <v>2</v>
      </c>
    </row>
    <row r="1198" spans="3:15" ht="13.5">
      <c r="C1198" s="1526" t="s">
        <v>5156</v>
      </c>
      <c r="D1198" s="1523">
        <v>1</v>
      </c>
      <c r="E1198" s="1523">
        <v>1</v>
      </c>
      <c r="F1198" s="1524">
        <v>2</v>
      </c>
      <c r="G1198" s="1537" t="s">
        <v>5156</v>
      </c>
      <c r="H1198" s="1521">
        <v>1</v>
      </c>
      <c r="I1198" s="1521">
        <v>1</v>
      </c>
      <c r="J1198" s="1538">
        <v>2</v>
      </c>
      <c r="K1198" s="1525"/>
      <c r="L1198" s="1519">
        <v>13115000202</v>
      </c>
      <c r="M1198" s="1520">
        <v>1</v>
      </c>
      <c r="N1198" s="1520">
        <v>1</v>
      </c>
      <c r="O1198" s="1521">
        <v>2</v>
      </c>
    </row>
    <row r="1199" spans="3:15" ht="13.5">
      <c r="C1199" s="1526" t="s">
        <v>5157</v>
      </c>
      <c r="D1199" s="1523">
        <v>1</v>
      </c>
      <c r="E1199" s="1523">
        <v>1</v>
      </c>
      <c r="F1199" s="1524">
        <v>2</v>
      </c>
      <c r="G1199" s="1537" t="s">
        <v>5157</v>
      </c>
      <c r="H1199" s="1521">
        <v>1</v>
      </c>
      <c r="I1199" s="1521">
        <v>1</v>
      </c>
      <c r="J1199" s="1538">
        <v>2</v>
      </c>
      <c r="K1199" s="1525"/>
      <c r="L1199" s="1519">
        <v>13115000300</v>
      </c>
      <c r="M1199" s="1520">
        <v>1</v>
      </c>
      <c r="N1199" s="1520">
        <v>1</v>
      </c>
      <c r="O1199" s="1521">
        <v>2</v>
      </c>
    </row>
    <row r="1200" spans="3:15" ht="13.5">
      <c r="C1200" s="1526" t="s">
        <v>5158</v>
      </c>
      <c r="D1200" s="1523">
        <v>0</v>
      </c>
      <c r="E1200" s="1523">
        <v>0</v>
      </c>
      <c r="F1200" s="1524">
        <v>0</v>
      </c>
      <c r="G1200" s="1537" t="s">
        <v>5158</v>
      </c>
      <c r="H1200" s="1521">
        <v>0</v>
      </c>
      <c r="I1200" s="1521">
        <v>1</v>
      </c>
      <c r="J1200" s="1538">
        <v>1</v>
      </c>
      <c r="K1200" s="1525"/>
      <c r="L1200" s="1519">
        <v>13115000400</v>
      </c>
      <c r="M1200" s="1520">
        <v>0</v>
      </c>
      <c r="N1200" s="1520">
        <v>1</v>
      </c>
      <c r="O1200" s="1521">
        <v>1</v>
      </c>
    </row>
    <row r="1201" spans="3:15" ht="13.5">
      <c r="C1201" s="1526" t="s">
        <v>5159</v>
      </c>
      <c r="D1201" s="1523">
        <v>0</v>
      </c>
      <c r="E1201" s="1523">
        <v>0</v>
      </c>
      <c r="F1201" s="1524">
        <v>0</v>
      </c>
      <c r="G1201" s="1537" t="s">
        <v>5159</v>
      </c>
      <c r="H1201" s="1521">
        <v>0</v>
      </c>
      <c r="I1201" s="1521">
        <v>0</v>
      </c>
      <c r="J1201" s="1538">
        <v>0</v>
      </c>
      <c r="K1201" s="1525"/>
      <c r="L1201" s="1519">
        <v>13115000500</v>
      </c>
      <c r="M1201" s="1520">
        <v>0</v>
      </c>
      <c r="N1201" s="1520">
        <v>0</v>
      </c>
      <c r="O1201" s="1521">
        <v>0</v>
      </c>
    </row>
    <row r="1202" spans="3:15" ht="13.5">
      <c r="C1202" s="1526" t="s">
        <v>5160</v>
      </c>
      <c r="D1202" s="1523">
        <v>0</v>
      </c>
      <c r="E1202" s="1523">
        <v>0</v>
      </c>
      <c r="F1202" s="1524">
        <v>0</v>
      </c>
      <c r="G1202" s="1537" t="s">
        <v>5160</v>
      </c>
      <c r="H1202" s="1521">
        <v>0</v>
      </c>
      <c r="I1202" s="1521">
        <v>0</v>
      </c>
      <c r="J1202" s="1538">
        <v>0</v>
      </c>
      <c r="K1202" s="1525"/>
      <c r="L1202" s="1519">
        <v>13115000600</v>
      </c>
      <c r="M1202" s="1520">
        <v>0</v>
      </c>
      <c r="N1202" s="1520">
        <v>0</v>
      </c>
      <c r="O1202" s="1521">
        <v>0</v>
      </c>
    </row>
    <row r="1203" spans="3:15" ht="13.5">
      <c r="C1203" s="1526" t="s">
        <v>5161</v>
      </c>
      <c r="D1203" s="1523">
        <v>1</v>
      </c>
      <c r="E1203" s="1523">
        <v>1</v>
      </c>
      <c r="F1203" s="1524">
        <v>2</v>
      </c>
      <c r="G1203" s="1537" t="s">
        <v>5161</v>
      </c>
      <c r="H1203" s="1521">
        <v>0</v>
      </c>
      <c r="I1203" s="1521">
        <v>1</v>
      </c>
      <c r="J1203" s="1538">
        <v>1</v>
      </c>
      <c r="K1203" s="1525"/>
      <c r="L1203" s="1519">
        <v>13115000700</v>
      </c>
      <c r="M1203" s="1520">
        <v>1</v>
      </c>
      <c r="N1203" s="1520">
        <v>1</v>
      </c>
      <c r="O1203" s="1521">
        <v>2</v>
      </c>
    </row>
    <row r="1204" spans="3:15" ht="13.5">
      <c r="C1204" s="1526" t="s">
        <v>5162</v>
      </c>
      <c r="D1204" s="1523">
        <v>1</v>
      </c>
      <c r="E1204" s="1523">
        <v>1</v>
      </c>
      <c r="F1204" s="1524">
        <v>2</v>
      </c>
      <c r="G1204" s="1537" t="s">
        <v>5162</v>
      </c>
      <c r="H1204" s="1521">
        <v>1</v>
      </c>
      <c r="I1204" s="1521">
        <v>1</v>
      </c>
      <c r="J1204" s="1538">
        <v>2</v>
      </c>
      <c r="K1204" s="1525"/>
      <c r="L1204" s="1519">
        <v>13115000800</v>
      </c>
      <c r="M1204" s="1520">
        <v>1</v>
      </c>
      <c r="N1204" s="1520">
        <v>1</v>
      </c>
      <c r="O1204" s="1521">
        <v>2</v>
      </c>
    </row>
    <row r="1205" spans="3:15" ht="13.5">
      <c r="C1205" s="1526" t="s">
        <v>5163</v>
      </c>
      <c r="D1205" s="1523">
        <v>0</v>
      </c>
      <c r="E1205" s="1523">
        <v>1</v>
      </c>
      <c r="F1205" s="1524">
        <v>1</v>
      </c>
      <c r="G1205" s="1537" t="s">
        <v>5163</v>
      </c>
      <c r="H1205" s="1521">
        <v>0</v>
      </c>
      <c r="I1205" s="1521">
        <v>1</v>
      </c>
      <c r="J1205" s="1538">
        <v>1</v>
      </c>
      <c r="K1205" s="1525"/>
      <c r="L1205" s="1519">
        <v>13115000900</v>
      </c>
      <c r="M1205" s="1520">
        <v>0</v>
      </c>
      <c r="N1205" s="1520">
        <v>1</v>
      </c>
      <c r="O1205" s="1521">
        <v>1</v>
      </c>
    </row>
    <row r="1206" spans="3:15" ht="13.5">
      <c r="C1206" s="1526" t="s">
        <v>5164</v>
      </c>
      <c r="D1206" s="1523">
        <v>0</v>
      </c>
      <c r="E1206" s="1523">
        <v>0</v>
      </c>
      <c r="F1206" s="1524">
        <v>0</v>
      </c>
      <c r="G1206" s="1537" t="s">
        <v>5164</v>
      </c>
      <c r="H1206" s="1521">
        <v>0</v>
      </c>
      <c r="I1206" s="1521">
        <v>0</v>
      </c>
      <c r="J1206" s="1538">
        <v>0</v>
      </c>
      <c r="K1206" s="1525"/>
      <c r="L1206" s="1519">
        <v>13115001100</v>
      </c>
      <c r="M1206" s="1520">
        <v>0</v>
      </c>
      <c r="N1206" s="1520">
        <v>0</v>
      </c>
      <c r="O1206" s="1521">
        <v>0</v>
      </c>
    </row>
    <row r="1207" spans="3:15" ht="13.5">
      <c r="C1207" s="1526" t="s">
        <v>5165</v>
      </c>
      <c r="D1207" s="1523">
        <v>0</v>
      </c>
      <c r="E1207" s="1523">
        <v>0</v>
      </c>
      <c r="F1207" s="1524">
        <v>0</v>
      </c>
      <c r="G1207" s="1537" t="s">
        <v>5165</v>
      </c>
      <c r="H1207" s="1521">
        <v>0</v>
      </c>
      <c r="I1207" s="1521">
        <v>0</v>
      </c>
      <c r="J1207" s="1538">
        <v>0</v>
      </c>
      <c r="K1207" s="1525"/>
      <c r="L1207" s="1519">
        <v>13115001200</v>
      </c>
      <c r="M1207" s="1520">
        <v>0</v>
      </c>
      <c r="N1207" s="1520">
        <v>0</v>
      </c>
      <c r="O1207" s="1521">
        <v>0</v>
      </c>
    </row>
    <row r="1208" spans="3:15" ht="13.5">
      <c r="C1208" s="1526" t="s">
        <v>5166</v>
      </c>
      <c r="D1208" s="1523">
        <v>0</v>
      </c>
      <c r="E1208" s="1523">
        <v>0</v>
      </c>
      <c r="F1208" s="1524">
        <v>0</v>
      </c>
      <c r="G1208" s="1537" t="s">
        <v>5166</v>
      </c>
      <c r="H1208" s="1521">
        <v>0</v>
      </c>
      <c r="I1208" s="1521">
        <v>0</v>
      </c>
      <c r="J1208" s="1538">
        <v>0</v>
      </c>
      <c r="K1208" s="1525"/>
      <c r="L1208" s="1519">
        <v>13115001300</v>
      </c>
      <c r="M1208" s="1520">
        <v>0</v>
      </c>
      <c r="N1208" s="1520">
        <v>0</v>
      </c>
      <c r="O1208" s="1521">
        <v>0</v>
      </c>
    </row>
    <row r="1209" spans="3:15" ht="13.5">
      <c r="C1209" s="1526" t="s">
        <v>5167</v>
      </c>
      <c r="D1209" s="1523">
        <v>1</v>
      </c>
      <c r="E1209" s="1523">
        <v>1</v>
      </c>
      <c r="F1209" s="1524">
        <v>2</v>
      </c>
      <c r="G1209" s="1537" t="s">
        <v>5167</v>
      </c>
      <c r="H1209" s="1521">
        <v>0</v>
      </c>
      <c r="I1209" s="1521">
        <v>1</v>
      </c>
      <c r="J1209" s="1538">
        <v>1</v>
      </c>
      <c r="K1209" s="1525"/>
      <c r="L1209" s="1519">
        <v>13115001400</v>
      </c>
      <c r="M1209" s="1520">
        <v>1</v>
      </c>
      <c r="N1209" s="1520">
        <v>1</v>
      </c>
      <c r="O1209" s="1521">
        <v>2</v>
      </c>
    </row>
    <row r="1210" spans="3:15" ht="13.5">
      <c r="C1210" s="1526" t="s">
        <v>5168</v>
      </c>
      <c r="D1210" s="1523">
        <v>0</v>
      </c>
      <c r="E1210" s="1523">
        <v>0</v>
      </c>
      <c r="F1210" s="1524">
        <v>0</v>
      </c>
      <c r="G1210" s="1537" t="s">
        <v>5168</v>
      </c>
      <c r="H1210" s="1521">
        <v>0</v>
      </c>
      <c r="I1210" s="1521">
        <v>0</v>
      </c>
      <c r="J1210" s="1538">
        <v>0</v>
      </c>
      <c r="K1210" s="1525"/>
      <c r="L1210" s="1519">
        <v>13115001600</v>
      </c>
      <c r="M1210" s="1520">
        <v>0</v>
      </c>
      <c r="N1210" s="1520">
        <v>0</v>
      </c>
      <c r="O1210" s="1521">
        <v>0</v>
      </c>
    </row>
    <row r="1211" spans="3:15" ht="13.5">
      <c r="C1211" s="1526" t="s">
        <v>5169</v>
      </c>
      <c r="D1211" s="1523">
        <v>1</v>
      </c>
      <c r="E1211" s="1523">
        <v>0</v>
      </c>
      <c r="F1211" s="1524">
        <v>1</v>
      </c>
      <c r="G1211" s="1537" t="s">
        <v>5169</v>
      </c>
      <c r="H1211" s="1521">
        <v>1</v>
      </c>
      <c r="I1211" s="1521">
        <v>1</v>
      </c>
      <c r="J1211" s="1538">
        <v>2</v>
      </c>
      <c r="K1211" s="1525"/>
      <c r="L1211" s="1519">
        <v>13115001701</v>
      </c>
      <c r="M1211" s="1520">
        <v>1</v>
      </c>
      <c r="N1211" s="1520">
        <v>1</v>
      </c>
      <c r="O1211" s="1521">
        <v>2</v>
      </c>
    </row>
    <row r="1212" spans="3:15" ht="13.5">
      <c r="C1212" s="1526" t="s">
        <v>5170</v>
      </c>
      <c r="D1212" s="1523">
        <v>1</v>
      </c>
      <c r="E1212" s="1523">
        <v>1</v>
      </c>
      <c r="F1212" s="1524">
        <v>2</v>
      </c>
      <c r="G1212" s="1537" t="s">
        <v>5170</v>
      </c>
      <c r="H1212" s="1521">
        <v>0</v>
      </c>
      <c r="I1212" s="1521">
        <v>0</v>
      </c>
      <c r="J1212" s="1538">
        <v>0</v>
      </c>
      <c r="K1212" s="1525"/>
      <c r="L1212" s="1519">
        <v>13115001702</v>
      </c>
      <c r="M1212" s="1520">
        <v>1</v>
      </c>
      <c r="N1212" s="1520">
        <v>1</v>
      </c>
      <c r="O1212" s="1521">
        <v>2</v>
      </c>
    </row>
    <row r="1213" spans="3:15" ht="13.5">
      <c r="C1213" s="1526" t="s">
        <v>5171</v>
      </c>
      <c r="D1213" s="1523">
        <v>0</v>
      </c>
      <c r="E1213" s="1523">
        <v>0</v>
      </c>
      <c r="F1213" s="1524">
        <v>0</v>
      </c>
      <c r="G1213" s="1537" t="s">
        <v>5171</v>
      </c>
      <c r="H1213" s="1521">
        <v>0</v>
      </c>
      <c r="I1213" s="1521">
        <v>0</v>
      </c>
      <c r="J1213" s="1538">
        <v>0</v>
      </c>
      <c r="K1213" s="1525"/>
      <c r="L1213" s="1519">
        <v>13115001800</v>
      </c>
      <c r="M1213" s="1520">
        <v>0</v>
      </c>
      <c r="N1213" s="1520">
        <v>0</v>
      </c>
      <c r="O1213" s="1521">
        <v>0</v>
      </c>
    </row>
    <row r="1214" spans="3:15" ht="13.5">
      <c r="C1214" s="1526" t="s">
        <v>5172</v>
      </c>
      <c r="D1214" s="1523">
        <v>0</v>
      </c>
      <c r="E1214" s="1523">
        <v>0</v>
      </c>
      <c r="F1214" s="1524">
        <v>0</v>
      </c>
      <c r="G1214" s="1537" t="s">
        <v>5172</v>
      </c>
      <c r="H1214" s="1521">
        <v>0</v>
      </c>
      <c r="I1214" s="1521">
        <v>0</v>
      </c>
      <c r="J1214" s="1538">
        <v>0</v>
      </c>
      <c r="K1214" s="1525"/>
      <c r="L1214" s="1519">
        <v>13115002000</v>
      </c>
      <c r="M1214" s="1520">
        <v>0</v>
      </c>
      <c r="N1214" s="1520">
        <v>0</v>
      </c>
      <c r="O1214" s="1521">
        <v>0</v>
      </c>
    </row>
    <row r="1215" spans="3:15" ht="13.5">
      <c r="C1215" s="1526" t="s">
        <v>5173</v>
      </c>
      <c r="D1215" s="1523">
        <v>0</v>
      </c>
      <c r="E1215" s="1523">
        <v>0</v>
      </c>
      <c r="F1215" s="1524">
        <v>0</v>
      </c>
      <c r="G1215" s="1537" t="s">
        <v>5173</v>
      </c>
      <c r="H1215" s="1521">
        <v>0</v>
      </c>
      <c r="I1215" s="1521">
        <v>0</v>
      </c>
      <c r="J1215" s="1538">
        <v>0</v>
      </c>
      <c r="K1215" s="1525"/>
      <c r="L1215" s="1519">
        <v>13115002100</v>
      </c>
      <c r="M1215" s="1520">
        <v>0</v>
      </c>
      <c r="N1215" s="1520">
        <v>0</v>
      </c>
      <c r="O1215" s="1521">
        <v>0</v>
      </c>
    </row>
    <row r="1216" spans="3:15" ht="13.5">
      <c r="C1216" s="1526" t="s">
        <v>5174</v>
      </c>
      <c r="D1216" s="1523">
        <v>1</v>
      </c>
      <c r="E1216" s="1523">
        <v>1</v>
      </c>
      <c r="F1216" s="1524">
        <v>2</v>
      </c>
      <c r="G1216" s="1537" t="s">
        <v>5174</v>
      </c>
      <c r="H1216" s="1521">
        <v>1</v>
      </c>
      <c r="I1216" s="1521">
        <v>1</v>
      </c>
      <c r="J1216" s="1538">
        <v>2</v>
      </c>
      <c r="K1216" s="1525"/>
      <c r="L1216" s="1519">
        <v>13117130101</v>
      </c>
      <c r="M1216" s="1520">
        <v>1</v>
      </c>
      <c r="N1216" s="1520">
        <v>1</v>
      </c>
      <c r="O1216" s="1521">
        <v>2</v>
      </c>
    </row>
    <row r="1217" spans="3:15" ht="13.5">
      <c r="C1217" s="1526" t="s">
        <v>5175</v>
      </c>
      <c r="D1217" s="1523">
        <v>1</v>
      </c>
      <c r="E1217" s="1523">
        <v>1</v>
      </c>
      <c r="F1217" s="1524">
        <v>2</v>
      </c>
      <c r="G1217" s="1537" t="s">
        <v>5175</v>
      </c>
      <c r="H1217" s="1521">
        <v>1</v>
      </c>
      <c r="I1217" s="1521">
        <v>1</v>
      </c>
      <c r="J1217" s="1538">
        <v>2</v>
      </c>
      <c r="K1217" s="1525"/>
      <c r="L1217" s="1519">
        <v>13117130102</v>
      </c>
      <c r="M1217" s="1520">
        <v>1</v>
      </c>
      <c r="N1217" s="1520">
        <v>1</v>
      </c>
      <c r="O1217" s="1521">
        <v>2</v>
      </c>
    </row>
    <row r="1218" spans="3:15" ht="13.5">
      <c r="C1218" s="1526" t="s">
        <v>5176</v>
      </c>
      <c r="D1218" s="1523">
        <v>1</v>
      </c>
      <c r="E1218" s="1523">
        <v>1</v>
      </c>
      <c r="F1218" s="1524">
        <v>2</v>
      </c>
      <c r="G1218" s="1537" t="s">
        <v>5176</v>
      </c>
      <c r="H1218" s="1521">
        <v>1</v>
      </c>
      <c r="I1218" s="1521">
        <v>0</v>
      </c>
      <c r="J1218" s="1538">
        <v>1</v>
      </c>
      <c r="K1218" s="1525"/>
      <c r="L1218" s="1519">
        <v>13117130103</v>
      </c>
      <c r="M1218" s="1520">
        <v>1</v>
      </c>
      <c r="N1218" s="1520">
        <v>1</v>
      </c>
      <c r="O1218" s="1521">
        <v>2</v>
      </c>
    </row>
    <row r="1219" spans="3:15" ht="13.5">
      <c r="C1219" s="1526" t="s">
        <v>5177</v>
      </c>
      <c r="D1219" s="1523">
        <v>1</v>
      </c>
      <c r="E1219" s="1523">
        <v>1</v>
      </c>
      <c r="F1219" s="1524">
        <v>2</v>
      </c>
      <c r="G1219" s="1537" t="s">
        <v>5177</v>
      </c>
      <c r="H1219" s="1521">
        <v>1</v>
      </c>
      <c r="I1219" s="1521">
        <v>1</v>
      </c>
      <c r="J1219" s="1538">
        <v>2</v>
      </c>
      <c r="K1219" s="1525"/>
      <c r="L1219" s="1519">
        <v>13117130104</v>
      </c>
      <c r="M1219" s="1520">
        <v>1</v>
      </c>
      <c r="N1219" s="1520">
        <v>1</v>
      </c>
      <c r="O1219" s="1521">
        <v>2</v>
      </c>
    </row>
    <row r="1220" spans="3:15" ht="13.5">
      <c r="C1220" s="1526" t="s">
        <v>5178</v>
      </c>
      <c r="D1220" s="1523">
        <v>0</v>
      </c>
      <c r="E1220" s="1523">
        <v>0</v>
      </c>
      <c r="F1220" s="1524">
        <v>0</v>
      </c>
      <c r="G1220" s="1537" t="s">
        <v>5178</v>
      </c>
      <c r="H1220" s="1521">
        <v>0</v>
      </c>
      <c r="I1220" s="1521">
        <v>1</v>
      </c>
      <c r="J1220" s="1538">
        <v>1</v>
      </c>
      <c r="K1220" s="1525"/>
      <c r="L1220" s="1519">
        <v>13117130105</v>
      </c>
      <c r="M1220" s="1520">
        <v>0</v>
      </c>
      <c r="N1220" s="1520">
        <v>1</v>
      </c>
      <c r="O1220" s="1521">
        <v>1</v>
      </c>
    </row>
    <row r="1221" spans="3:15" ht="13.5">
      <c r="C1221" s="1526" t="s">
        <v>5179</v>
      </c>
      <c r="D1221" s="1523">
        <v>1</v>
      </c>
      <c r="E1221" s="1523">
        <v>1</v>
      </c>
      <c r="F1221" s="1524">
        <v>2</v>
      </c>
      <c r="G1221" s="1537" t="s">
        <v>5179</v>
      </c>
      <c r="H1221" s="1521">
        <v>1</v>
      </c>
      <c r="I1221" s="1521">
        <v>1</v>
      </c>
      <c r="J1221" s="1538">
        <v>2</v>
      </c>
      <c r="K1221" s="1525"/>
      <c r="L1221" s="1519">
        <v>13117130201</v>
      </c>
      <c r="M1221" s="1520">
        <v>1</v>
      </c>
      <c r="N1221" s="1520">
        <v>1</v>
      </c>
      <c r="O1221" s="1521">
        <v>2</v>
      </c>
    </row>
    <row r="1222" spans="3:15" ht="13.5">
      <c r="C1222" s="1526" t="s">
        <v>5180</v>
      </c>
      <c r="D1222" s="1523">
        <v>1</v>
      </c>
      <c r="E1222" s="1523">
        <v>1</v>
      </c>
      <c r="F1222" s="1524">
        <v>2</v>
      </c>
      <c r="G1222" s="1537" t="s">
        <v>5180</v>
      </c>
      <c r="H1222" s="1521">
        <v>1</v>
      </c>
      <c r="I1222" s="1521" t="s">
        <v>4096</v>
      </c>
      <c r="J1222" s="1538">
        <v>1</v>
      </c>
      <c r="K1222" s="1525"/>
      <c r="L1222" s="1519">
        <v>13117130202</v>
      </c>
      <c r="M1222" s="1520">
        <v>1</v>
      </c>
      <c r="N1222" s="1520">
        <v>1</v>
      </c>
      <c r="O1222" s="1521">
        <v>2</v>
      </c>
    </row>
    <row r="1223" spans="3:15" ht="13.5">
      <c r="C1223" s="1526" t="s">
        <v>5181</v>
      </c>
      <c r="D1223" s="1523">
        <v>1</v>
      </c>
      <c r="E1223" s="1523">
        <v>1</v>
      </c>
      <c r="F1223" s="1524">
        <v>2</v>
      </c>
      <c r="G1223" s="1537" t="s">
        <v>5181</v>
      </c>
      <c r="H1223" s="1521">
        <v>1</v>
      </c>
      <c r="I1223" s="1521">
        <v>1</v>
      </c>
      <c r="J1223" s="1538">
        <v>2</v>
      </c>
      <c r="K1223" s="1525"/>
      <c r="L1223" s="1519">
        <v>13117130203</v>
      </c>
      <c r="M1223" s="1520">
        <v>1</v>
      </c>
      <c r="N1223" s="1520">
        <v>1</v>
      </c>
      <c r="O1223" s="1521">
        <v>2</v>
      </c>
    </row>
    <row r="1224" spans="3:15" ht="13.5">
      <c r="C1224" s="1526" t="s">
        <v>5182</v>
      </c>
      <c r="D1224" s="1523">
        <v>1</v>
      </c>
      <c r="E1224" s="1523">
        <v>0</v>
      </c>
      <c r="F1224" s="1524">
        <v>1</v>
      </c>
      <c r="G1224" s="1537" t="s">
        <v>5182</v>
      </c>
      <c r="H1224" s="1521">
        <v>1</v>
      </c>
      <c r="I1224" s="1521">
        <v>0</v>
      </c>
      <c r="J1224" s="1538">
        <v>1</v>
      </c>
      <c r="K1224" s="1525"/>
      <c r="L1224" s="1519">
        <v>13117130204</v>
      </c>
      <c r="M1224" s="1520">
        <v>1</v>
      </c>
      <c r="N1224" s="1520">
        <v>0</v>
      </c>
      <c r="O1224" s="1521">
        <v>1</v>
      </c>
    </row>
    <row r="1225" spans="3:15" ht="13.5">
      <c r="C1225" s="1526" t="s">
        <v>5183</v>
      </c>
      <c r="D1225" s="1523">
        <v>1</v>
      </c>
      <c r="E1225" s="1523">
        <v>1</v>
      </c>
      <c r="F1225" s="1524">
        <v>2</v>
      </c>
      <c r="G1225" s="1537" t="s">
        <v>5183</v>
      </c>
      <c r="H1225" s="1521">
        <v>1</v>
      </c>
      <c r="I1225" s="1521" t="s">
        <v>4096</v>
      </c>
      <c r="J1225" s="1538">
        <v>1</v>
      </c>
      <c r="K1225" s="1525"/>
      <c r="L1225" s="1519">
        <v>13117130205</v>
      </c>
      <c r="M1225" s="1520">
        <v>1</v>
      </c>
      <c r="N1225" s="1520">
        <v>1</v>
      </c>
      <c r="O1225" s="1521">
        <v>2</v>
      </c>
    </row>
    <row r="1226" spans="3:15" ht="13.5">
      <c r="C1226" s="1526" t="s">
        <v>5184</v>
      </c>
      <c r="D1226" s="1523">
        <v>1</v>
      </c>
      <c r="E1226" s="1523">
        <v>1</v>
      </c>
      <c r="F1226" s="1524">
        <v>2</v>
      </c>
      <c r="G1226" s="1537" t="s">
        <v>5184</v>
      </c>
      <c r="H1226" s="1521">
        <v>1</v>
      </c>
      <c r="I1226" s="1521">
        <v>1</v>
      </c>
      <c r="J1226" s="1538">
        <v>2</v>
      </c>
      <c r="K1226" s="1525"/>
      <c r="L1226" s="1519">
        <v>13117130301</v>
      </c>
      <c r="M1226" s="1520">
        <v>1</v>
      </c>
      <c r="N1226" s="1520">
        <v>1</v>
      </c>
      <c r="O1226" s="1521">
        <v>2</v>
      </c>
    </row>
    <row r="1227" spans="3:15" ht="13.5">
      <c r="C1227" s="1526" t="s">
        <v>5185</v>
      </c>
      <c r="D1227" s="1523">
        <v>1</v>
      </c>
      <c r="E1227" s="1523">
        <v>1</v>
      </c>
      <c r="F1227" s="1524">
        <v>2</v>
      </c>
      <c r="G1227" s="1537" t="s">
        <v>5185</v>
      </c>
      <c r="H1227" s="1521">
        <v>1</v>
      </c>
      <c r="I1227" s="1521">
        <v>1</v>
      </c>
      <c r="J1227" s="1538">
        <v>2</v>
      </c>
      <c r="K1227" s="1525"/>
      <c r="L1227" s="1519">
        <v>13117130302</v>
      </c>
      <c r="M1227" s="1520">
        <v>1</v>
      </c>
      <c r="N1227" s="1520">
        <v>1</v>
      </c>
      <c r="O1227" s="1521">
        <v>2</v>
      </c>
    </row>
    <row r="1228" spans="3:15" ht="13.5">
      <c r="C1228" s="1526" t="s">
        <v>5186</v>
      </c>
      <c r="D1228" s="1523">
        <v>1</v>
      </c>
      <c r="E1228" s="1523">
        <v>1</v>
      </c>
      <c r="F1228" s="1524">
        <v>2</v>
      </c>
      <c r="G1228" s="1537" t="s">
        <v>5186</v>
      </c>
      <c r="H1228" s="1521">
        <v>1</v>
      </c>
      <c r="I1228" s="1521">
        <v>1</v>
      </c>
      <c r="J1228" s="1538">
        <v>2</v>
      </c>
      <c r="K1228" s="1525"/>
      <c r="L1228" s="1519">
        <v>13117130303</v>
      </c>
      <c r="M1228" s="1520">
        <v>1</v>
      </c>
      <c r="N1228" s="1520">
        <v>1</v>
      </c>
      <c r="O1228" s="1521">
        <v>2</v>
      </c>
    </row>
    <row r="1229" spans="3:15" ht="13.5">
      <c r="C1229" s="1526" t="s">
        <v>5187</v>
      </c>
      <c r="D1229" s="1523">
        <v>1</v>
      </c>
      <c r="E1229" s="1523">
        <v>1</v>
      </c>
      <c r="F1229" s="1524">
        <v>2</v>
      </c>
      <c r="G1229" s="1537" t="s">
        <v>5187</v>
      </c>
      <c r="H1229" s="1521">
        <v>1</v>
      </c>
      <c r="I1229" s="1521">
        <v>1</v>
      </c>
      <c r="J1229" s="1538">
        <v>2</v>
      </c>
      <c r="K1229" s="1525"/>
      <c r="L1229" s="1519">
        <v>13117130304</v>
      </c>
      <c r="M1229" s="1520">
        <v>1</v>
      </c>
      <c r="N1229" s="1520">
        <v>1</v>
      </c>
      <c r="O1229" s="1521">
        <v>2</v>
      </c>
    </row>
    <row r="1230" spans="3:15" ht="13.5">
      <c r="C1230" s="1526" t="s">
        <v>5188</v>
      </c>
      <c r="D1230" s="1523">
        <v>1</v>
      </c>
      <c r="E1230" s="1523">
        <v>1</v>
      </c>
      <c r="F1230" s="1524">
        <v>2</v>
      </c>
      <c r="G1230" s="1537" t="s">
        <v>5188</v>
      </c>
      <c r="H1230" s="1521">
        <v>1</v>
      </c>
      <c r="I1230" s="1521">
        <v>1</v>
      </c>
      <c r="J1230" s="1538">
        <v>2</v>
      </c>
      <c r="K1230" s="1525"/>
      <c r="L1230" s="1519">
        <v>13117130305</v>
      </c>
      <c r="M1230" s="1520">
        <v>1</v>
      </c>
      <c r="N1230" s="1520">
        <v>1</v>
      </c>
      <c r="O1230" s="1521">
        <v>2</v>
      </c>
    </row>
    <row r="1231" spans="3:15" ht="13.5">
      <c r="C1231" s="1526" t="s">
        <v>5189</v>
      </c>
      <c r="D1231" s="1523">
        <v>1</v>
      </c>
      <c r="E1231" s="1523">
        <v>1</v>
      </c>
      <c r="F1231" s="1524">
        <v>2</v>
      </c>
      <c r="G1231" s="1537" t="s">
        <v>5189</v>
      </c>
      <c r="H1231" s="1521">
        <v>1</v>
      </c>
      <c r="I1231" s="1521">
        <v>1</v>
      </c>
      <c r="J1231" s="1538">
        <v>2</v>
      </c>
      <c r="K1231" s="1525"/>
      <c r="L1231" s="1519">
        <v>13117130306</v>
      </c>
      <c r="M1231" s="1520">
        <v>1</v>
      </c>
      <c r="N1231" s="1520">
        <v>1</v>
      </c>
      <c r="O1231" s="1521">
        <v>2</v>
      </c>
    </row>
    <row r="1232" spans="3:15" ht="13.5">
      <c r="C1232" s="1526" t="s">
        <v>5190</v>
      </c>
      <c r="D1232" s="1523">
        <v>1</v>
      </c>
      <c r="E1232" s="1523">
        <v>1</v>
      </c>
      <c r="F1232" s="1524">
        <v>2</v>
      </c>
      <c r="G1232" s="1537" t="s">
        <v>5190</v>
      </c>
      <c r="H1232" s="1521">
        <v>1</v>
      </c>
      <c r="I1232" s="1521">
        <v>1</v>
      </c>
      <c r="J1232" s="1538">
        <v>2</v>
      </c>
      <c r="K1232" s="1525"/>
      <c r="L1232" s="1519">
        <v>13117130307</v>
      </c>
      <c r="M1232" s="1520">
        <v>1</v>
      </c>
      <c r="N1232" s="1520">
        <v>1</v>
      </c>
      <c r="O1232" s="1521">
        <v>2</v>
      </c>
    </row>
    <row r="1233" spans="3:15" ht="13.5">
      <c r="C1233" s="1526" t="s">
        <v>5191</v>
      </c>
      <c r="D1233" s="1523">
        <v>1</v>
      </c>
      <c r="E1233" s="1523">
        <v>1</v>
      </c>
      <c r="F1233" s="1524">
        <v>2</v>
      </c>
      <c r="G1233" s="1537" t="s">
        <v>5191</v>
      </c>
      <c r="H1233" s="1521">
        <v>1</v>
      </c>
      <c r="I1233" s="1521">
        <v>1</v>
      </c>
      <c r="J1233" s="1538">
        <v>2</v>
      </c>
      <c r="K1233" s="1525"/>
      <c r="L1233" s="1519">
        <v>13117130403</v>
      </c>
      <c r="M1233" s="1520">
        <v>1</v>
      </c>
      <c r="N1233" s="1520">
        <v>1</v>
      </c>
      <c r="O1233" s="1521">
        <v>2</v>
      </c>
    </row>
    <row r="1234" spans="3:15" ht="13.5">
      <c r="C1234" s="1526" t="s">
        <v>5192</v>
      </c>
      <c r="D1234" s="1523">
        <v>1</v>
      </c>
      <c r="E1234" s="1523">
        <v>1</v>
      </c>
      <c r="F1234" s="1524">
        <v>2</v>
      </c>
      <c r="G1234" s="1537" t="s">
        <v>5192</v>
      </c>
      <c r="H1234" s="1521">
        <v>1</v>
      </c>
      <c r="I1234" s="1521">
        <v>1</v>
      </c>
      <c r="J1234" s="1538">
        <v>2</v>
      </c>
      <c r="K1234" s="1525"/>
      <c r="L1234" s="1519">
        <v>13117130404</v>
      </c>
      <c r="M1234" s="1520">
        <v>1</v>
      </c>
      <c r="N1234" s="1520">
        <v>1</v>
      </c>
      <c r="O1234" s="1521">
        <v>2</v>
      </c>
    </row>
    <row r="1235" spans="3:15" ht="13.5">
      <c r="C1235" s="1526" t="s">
        <v>5193</v>
      </c>
      <c r="D1235" s="1523">
        <v>1</v>
      </c>
      <c r="E1235" s="1523">
        <v>1</v>
      </c>
      <c r="F1235" s="1524">
        <v>2</v>
      </c>
      <c r="G1235" s="1537" t="s">
        <v>5193</v>
      </c>
      <c r="H1235" s="1521">
        <v>1</v>
      </c>
      <c r="I1235" s="1521">
        <v>1</v>
      </c>
      <c r="J1235" s="1538">
        <v>2</v>
      </c>
      <c r="K1235" s="1525"/>
      <c r="L1235" s="1519">
        <v>13117130405</v>
      </c>
      <c r="M1235" s="1520">
        <v>1</v>
      </c>
      <c r="N1235" s="1520">
        <v>1</v>
      </c>
      <c r="O1235" s="1521">
        <v>2</v>
      </c>
    </row>
    <row r="1236" spans="3:15" ht="13.5">
      <c r="C1236" s="1526" t="s">
        <v>5194</v>
      </c>
      <c r="D1236" s="1523">
        <v>1</v>
      </c>
      <c r="E1236" s="1523">
        <v>0</v>
      </c>
      <c r="F1236" s="1524">
        <v>1</v>
      </c>
      <c r="G1236" s="1537" t="s">
        <v>5194</v>
      </c>
      <c r="H1236" s="1521">
        <v>1</v>
      </c>
      <c r="I1236" s="1521">
        <v>0</v>
      </c>
      <c r="J1236" s="1538">
        <v>1</v>
      </c>
      <c r="K1236" s="1525"/>
      <c r="L1236" s="1519">
        <v>13117130406</v>
      </c>
      <c r="M1236" s="1520">
        <v>1</v>
      </c>
      <c r="N1236" s="1520">
        <v>0</v>
      </c>
      <c r="O1236" s="1521">
        <v>1</v>
      </c>
    </row>
    <row r="1237" spans="3:15" ht="13.5">
      <c r="C1237" s="1526" t="s">
        <v>5195</v>
      </c>
      <c r="D1237" s="1523">
        <v>1</v>
      </c>
      <c r="E1237" s="1523">
        <v>0</v>
      </c>
      <c r="F1237" s="1524">
        <v>1</v>
      </c>
      <c r="G1237" s="1537" t="s">
        <v>5195</v>
      </c>
      <c r="H1237" s="1521">
        <v>0</v>
      </c>
      <c r="I1237" s="1521">
        <v>0</v>
      </c>
      <c r="J1237" s="1538">
        <v>0</v>
      </c>
      <c r="K1237" s="1525"/>
      <c r="L1237" s="1519">
        <v>13117130408</v>
      </c>
      <c r="M1237" s="1520">
        <v>1</v>
      </c>
      <c r="N1237" s="1520">
        <v>0</v>
      </c>
      <c r="O1237" s="1521">
        <v>1</v>
      </c>
    </row>
    <row r="1238" spans="3:15" ht="13.5">
      <c r="C1238" s="1526" t="s">
        <v>5196</v>
      </c>
      <c r="D1238" s="1523">
        <v>1</v>
      </c>
      <c r="E1238" s="1523">
        <v>1</v>
      </c>
      <c r="F1238" s="1524">
        <v>2</v>
      </c>
      <c r="G1238" s="1537" t="s">
        <v>5196</v>
      </c>
      <c r="H1238" s="1521">
        <v>1</v>
      </c>
      <c r="I1238" s="1521">
        <v>0</v>
      </c>
      <c r="J1238" s="1538">
        <v>1</v>
      </c>
      <c r="K1238" s="1525"/>
      <c r="L1238" s="1519">
        <v>13117130409</v>
      </c>
      <c r="M1238" s="1520">
        <v>1</v>
      </c>
      <c r="N1238" s="1520">
        <v>1</v>
      </c>
      <c r="O1238" s="1521">
        <v>2</v>
      </c>
    </row>
    <row r="1239" spans="3:15" ht="13.5">
      <c r="C1239" s="1526" t="s">
        <v>5197</v>
      </c>
      <c r="D1239" s="1523">
        <v>1</v>
      </c>
      <c r="E1239" s="1523">
        <v>1</v>
      </c>
      <c r="F1239" s="1524">
        <v>2</v>
      </c>
      <c r="G1239" s="1537" t="s">
        <v>5197</v>
      </c>
      <c r="H1239" s="1521">
        <v>1</v>
      </c>
      <c r="I1239" s="1521">
        <v>1</v>
      </c>
      <c r="J1239" s="1538">
        <v>1</v>
      </c>
      <c r="K1239" s="1525"/>
      <c r="L1239" s="1519">
        <v>13117130410</v>
      </c>
      <c r="M1239" s="1520">
        <v>1</v>
      </c>
      <c r="N1239" s="1520">
        <v>1</v>
      </c>
      <c r="O1239" s="1521">
        <v>2</v>
      </c>
    </row>
    <row r="1240" spans="3:15" ht="13.5">
      <c r="C1240" s="1526" t="s">
        <v>5198</v>
      </c>
      <c r="D1240" s="1523">
        <v>1</v>
      </c>
      <c r="E1240" s="1523">
        <v>1</v>
      </c>
      <c r="F1240" s="1524">
        <v>2</v>
      </c>
      <c r="G1240" s="1537" t="s">
        <v>5198</v>
      </c>
      <c r="H1240" s="1521">
        <v>1</v>
      </c>
      <c r="I1240" s="1521">
        <v>0</v>
      </c>
      <c r="J1240" s="1538">
        <v>1</v>
      </c>
      <c r="K1240" s="1525"/>
      <c r="L1240" s="1519">
        <v>13117130503</v>
      </c>
      <c r="M1240" s="1520">
        <v>1</v>
      </c>
      <c r="N1240" s="1520">
        <v>1</v>
      </c>
      <c r="O1240" s="1521">
        <v>2</v>
      </c>
    </row>
    <row r="1241" spans="3:15" ht="13.5">
      <c r="C1241" s="1526" t="s">
        <v>5199</v>
      </c>
      <c r="D1241" s="1523">
        <v>1</v>
      </c>
      <c r="E1241" s="1523">
        <v>1</v>
      </c>
      <c r="F1241" s="1524">
        <v>2</v>
      </c>
      <c r="G1241" s="1537" t="s">
        <v>5199</v>
      </c>
      <c r="H1241" s="1521">
        <v>1</v>
      </c>
      <c r="I1241" s="1521">
        <v>0</v>
      </c>
      <c r="J1241" s="1538">
        <v>1</v>
      </c>
      <c r="K1241" s="1525"/>
      <c r="L1241" s="1519">
        <v>13117130504</v>
      </c>
      <c r="M1241" s="1520">
        <v>1</v>
      </c>
      <c r="N1241" s="1520">
        <v>1</v>
      </c>
      <c r="O1241" s="1521">
        <v>2</v>
      </c>
    </row>
    <row r="1242" spans="3:15" ht="13.5">
      <c r="C1242" s="1526" t="s">
        <v>5200</v>
      </c>
      <c r="D1242" s="1523">
        <v>1</v>
      </c>
      <c r="E1242" s="1523">
        <v>1</v>
      </c>
      <c r="F1242" s="1524">
        <v>2</v>
      </c>
      <c r="G1242" s="1537" t="s">
        <v>5200</v>
      </c>
      <c r="H1242" s="1521">
        <v>1</v>
      </c>
      <c r="I1242" s="1521" t="s">
        <v>4096</v>
      </c>
      <c r="J1242" s="1538">
        <v>1</v>
      </c>
      <c r="K1242" s="1525"/>
      <c r="L1242" s="1519">
        <v>13117130505</v>
      </c>
      <c r="M1242" s="1520">
        <v>1</v>
      </c>
      <c r="N1242" s="1520">
        <v>1</v>
      </c>
      <c r="O1242" s="1521">
        <v>2</v>
      </c>
    </row>
    <row r="1243" spans="3:15" ht="13.5">
      <c r="C1243" s="1526" t="s">
        <v>5201</v>
      </c>
      <c r="D1243" s="1523">
        <v>1</v>
      </c>
      <c r="E1243" s="1523">
        <v>1</v>
      </c>
      <c r="F1243" s="1524">
        <v>2</v>
      </c>
      <c r="G1243" s="1537" t="s">
        <v>5201</v>
      </c>
      <c r="H1243" s="1521">
        <v>1</v>
      </c>
      <c r="I1243" s="1521">
        <v>1</v>
      </c>
      <c r="J1243" s="1538">
        <v>2</v>
      </c>
      <c r="K1243" s="1525"/>
      <c r="L1243" s="1519">
        <v>13117130506</v>
      </c>
      <c r="M1243" s="1520">
        <v>1</v>
      </c>
      <c r="N1243" s="1520">
        <v>1</v>
      </c>
      <c r="O1243" s="1521">
        <v>2</v>
      </c>
    </row>
    <row r="1244" spans="3:15" ht="13.5">
      <c r="C1244" s="1526" t="s">
        <v>5202</v>
      </c>
      <c r="D1244" s="1523">
        <v>1</v>
      </c>
      <c r="E1244" s="1523">
        <v>1</v>
      </c>
      <c r="F1244" s="1524">
        <v>2</v>
      </c>
      <c r="G1244" s="1537" t="s">
        <v>5202</v>
      </c>
      <c r="H1244" s="1521">
        <v>1</v>
      </c>
      <c r="I1244" s="1521">
        <v>1</v>
      </c>
      <c r="J1244" s="1538">
        <v>2</v>
      </c>
      <c r="K1244" s="1525"/>
      <c r="L1244" s="1519">
        <v>13117130507</v>
      </c>
      <c r="M1244" s="1520">
        <v>1</v>
      </c>
      <c r="N1244" s="1520">
        <v>1</v>
      </c>
      <c r="O1244" s="1521">
        <v>2</v>
      </c>
    </row>
    <row r="1245" spans="3:15" ht="13.5">
      <c r="C1245" s="1526" t="s">
        <v>5203</v>
      </c>
      <c r="D1245" s="1523">
        <v>1</v>
      </c>
      <c r="E1245" s="1523">
        <v>1</v>
      </c>
      <c r="F1245" s="1524">
        <v>2</v>
      </c>
      <c r="G1245" s="1537" t="s">
        <v>5203</v>
      </c>
      <c r="H1245" s="1521">
        <v>1</v>
      </c>
      <c r="I1245" s="1521">
        <v>1</v>
      </c>
      <c r="J1245" s="1538">
        <v>2</v>
      </c>
      <c r="K1245" s="1525"/>
      <c r="L1245" s="1519">
        <v>13117130508</v>
      </c>
      <c r="M1245" s="1520">
        <v>1</v>
      </c>
      <c r="N1245" s="1520">
        <v>1</v>
      </c>
      <c r="O1245" s="1521">
        <v>2</v>
      </c>
    </row>
    <row r="1246" spans="3:15" ht="13.5">
      <c r="C1246" s="1526" t="s">
        <v>5204</v>
      </c>
      <c r="D1246" s="1523">
        <v>1</v>
      </c>
      <c r="E1246" s="1523">
        <v>1</v>
      </c>
      <c r="F1246" s="1524">
        <v>2</v>
      </c>
      <c r="G1246" s="1537" t="s">
        <v>5204</v>
      </c>
      <c r="H1246" s="1521">
        <v>1</v>
      </c>
      <c r="I1246" s="1521">
        <v>1</v>
      </c>
      <c r="J1246" s="1538">
        <v>2</v>
      </c>
      <c r="K1246" s="1525"/>
      <c r="L1246" s="1519">
        <v>13117130509</v>
      </c>
      <c r="M1246" s="1520">
        <v>1</v>
      </c>
      <c r="N1246" s="1520">
        <v>1</v>
      </c>
      <c r="O1246" s="1521">
        <v>2</v>
      </c>
    </row>
    <row r="1247" spans="3:15" ht="13.5">
      <c r="C1247" s="1526" t="s">
        <v>5205</v>
      </c>
      <c r="D1247" s="1523">
        <v>1</v>
      </c>
      <c r="E1247" s="1523">
        <v>1</v>
      </c>
      <c r="F1247" s="1524">
        <v>2</v>
      </c>
      <c r="G1247" s="1537" t="s">
        <v>5205</v>
      </c>
      <c r="H1247" s="1521">
        <v>1</v>
      </c>
      <c r="I1247" s="1521">
        <v>1</v>
      </c>
      <c r="J1247" s="1538">
        <v>2</v>
      </c>
      <c r="K1247" s="1525"/>
      <c r="L1247" s="1519">
        <v>13117130510</v>
      </c>
      <c r="M1247" s="1520">
        <v>1</v>
      </c>
      <c r="N1247" s="1520">
        <v>1</v>
      </c>
      <c r="O1247" s="1521">
        <v>2</v>
      </c>
    </row>
    <row r="1248" spans="3:15" ht="13.5">
      <c r="C1248" s="1526" t="s">
        <v>5206</v>
      </c>
      <c r="D1248" s="1523">
        <v>1</v>
      </c>
      <c r="E1248" s="1523">
        <v>1</v>
      </c>
      <c r="F1248" s="1524">
        <v>2</v>
      </c>
      <c r="G1248" s="1537" t="s">
        <v>5206</v>
      </c>
      <c r="H1248" s="1521">
        <v>1</v>
      </c>
      <c r="I1248" s="1521">
        <v>1</v>
      </c>
      <c r="J1248" s="1538">
        <v>2</v>
      </c>
      <c r="K1248" s="1525"/>
      <c r="L1248" s="1519">
        <v>13117130601</v>
      </c>
      <c r="M1248" s="1520">
        <v>1</v>
      </c>
      <c r="N1248" s="1520">
        <v>1</v>
      </c>
      <c r="O1248" s="1521">
        <v>2</v>
      </c>
    </row>
    <row r="1249" spans="3:15" ht="13.5">
      <c r="C1249" s="1526" t="s">
        <v>5207</v>
      </c>
      <c r="D1249" s="1523">
        <v>1</v>
      </c>
      <c r="E1249" s="1523">
        <v>1</v>
      </c>
      <c r="F1249" s="1524">
        <v>2</v>
      </c>
      <c r="G1249" s="1537" t="s">
        <v>5207</v>
      </c>
      <c r="H1249" s="1521">
        <v>1</v>
      </c>
      <c r="I1249" s="1521">
        <v>0</v>
      </c>
      <c r="J1249" s="1538">
        <v>1</v>
      </c>
      <c r="K1249" s="1525"/>
      <c r="L1249" s="1519">
        <v>13117130602</v>
      </c>
      <c r="M1249" s="1520">
        <v>1</v>
      </c>
      <c r="N1249" s="1520">
        <v>1</v>
      </c>
      <c r="O1249" s="1521">
        <v>2</v>
      </c>
    </row>
    <row r="1250" spans="3:15" ht="13.5">
      <c r="C1250" s="1526" t="s">
        <v>5208</v>
      </c>
      <c r="D1250" s="1523">
        <v>1</v>
      </c>
      <c r="E1250" s="1523">
        <v>1</v>
      </c>
      <c r="F1250" s="1524">
        <v>2</v>
      </c>
      <c r="G1250" s="1537" t="s">
        <v>5208</v>
      </c>
      <c r="H1250" s="1521">
        <v>1</v>
      </c>
      <c r="I1250" s="1521" t="s">
        <v>4096</v>
      </c>
      <c r="J1250" s="1538">
        <v>1</v>
      </c>
      <c r="K1250" s="1525"/>
      <c r="L1250" s="1519">
        <v>13117130603</v>
      </c>
      <c r="M1250" s="1520">
        <v>1</v>
      </c>
      <c r="N1250" s="1520">
        <v>1</v>
      </c>
      <c r="O1250" s="1521">
        <v>2</v>
      </c>
    </row>
    <row r="1251" spans="3:15" ht="13.5">
      <c r="C1251" s="1526" t="s">
        <v>5209</v>
      </c>
      <c r="D1251" s="1523">
        <v>1</v>
      </c>
      <c r="E1251" s="1523">
        <v>1</v>
      </c>
      <c r="F1251" s="1524">
        <v>2</v>
      </c>
      <c r="G1251" s="1537" t="s">
        <v>5209</v>
      </c>
      <c r="H1251" s="1521">
        <v>1</v>
      </c>
      <c r="I1251" s="1521">
        <v>1</v>
      </c>
      <c r="J1251" s="1538">
        <v>2</v>
      </c>
      <c r="K1251" s="1525"/>
      <c r="L1251" s="1519">
        <v>13117130604</v>
      </c>
      <c r="M1251" s="1520">
        <v>1</v>
      </c>
      <c r="N1251" s="1520">
        <v>1</v>
      </c>
      <c r="O1251" s="1521">
        <v>2</v>
      </c>
    </row>
    <row r="1252" spans="3:15" ht="13.5">
      <c r="C1252" s="1526" t="s">
        <v>5210</v>
      </c>
      <c r="D1252" s="1523">
        <v>1</v>
      </c>
      <c r="E1252" s="1523">
        <v>1</v>
      </c>
      <c r="F1252" s="1524">
        <v>2</v>
      </c>
      <c r="G1252" s="1537" t="s">
        <v>5210</v>
      </c>
      <c r="H1252" s="1521">
        <v>1</v>
      </c>
      <c r="I1252" s="1521">
        <v>1</v>
      </c>
      <c r="J1252" s="1538">
        <v>2</v>
      </c>
      <c r="K1252" s="1525"/>
      <c r="L1252" s="1519">
        <v>13117130605</v>
      </c>
      <c r="M1252" s="1520">
        <v>1</v>
      </c>
      <c r="N1252" s="1520">
        <v>1</v>
      </c>
      <c r="O1252" s="1521">
        <v>2</v>
      </c>
    </row>
    <row r="1253" spans="3:15" ht="13.5">
      <c r="C1253" s="1526" t="s">
        <v>5211</v>
      </c>
      <c r="D1253" s="1523">
        <v>1</v>
      </c>
      <c r="E1253" s="1523">
        <v>1</v>
      </c>
      <c r="F1253" s="1524">
        <v>2</v>
      </c>
      <c r="G1253" s="1537" t="s">
        <v>5211</v>
      </c>
      <c r="H1253" s="1521">
        <v>1</v>
      </c>
      <c r="I1253" s="1521">
        <v>1</v>
      </c>
      <c r="J1253" s="1538">
        <v>2</v>
      </c>
      <c r="K1253" s="1525"/>
      <c r="L1253" s="1519">
        <v>13117130606</v>
      </c>
      <c r="M1253" s="1520">
        <v>1</v>
      </c>
      <c r="N1253" s="1520">
        <v>1</v>
      </c>
      <c r="O1253" s="1521">
        <v>2</v>
      </c>
    </row>
    <row r="1254" spans="3:15" ht="13.5">
      <c r="C1254" s="1526" t="s">
        <v>5212</v>
      </c>
      <c r="D1254" s="1523">
        <v>1</v>
      </c>
      <c r="E1254" s="1523">
        <v>1</v>
      </c>
      <c r="F1254" s="1524">
        <v>2</v>
      </c>
      <c r="G1254" s="1537" t="s">
        <v>5212</v>
      </c>
      <c r="H1254" s="1521">
        <v>1</v>
      </c>
      <c r="I1254" s="1521">
        <v>1</v>
      </c>
      <c r="J1254" s="1538">
        <v>2</v>
      </c>
      <c r="K1254" s="1525"/>
      <c r="L1254" s="1519">
        <v>13117130607</v>
      </c>
      <c r="M1254" s="1520">
        <v>1</v>
      </c>
      <c r="N1254" s="1520">
        <v>1</v>
      </c>
      <c r="O1254" s="1521">
        <v>2</v>
      </c>
    </row>
    <row r="1255" spans="3:15" ht="13.5">
      <c r="C1255" s="1526" t="s">
        <v>5213</v>
      </c>
      <c r="D1255" s="1523">
        <v>1</v>
      </c>
      <c r="E1255" s="1523">
        <v>1</v>
      </c>
      <c r="F1255" s="1524">
        <v>2</v>
      </c>
      <c r="G1255" s="1537" t="s">
        <v>5213</v>
      </c>
      <c r="H1255" s="1521">
        <v>1</v>
      </c>
      <c r="I1255" s="1521">
        <v>1</v>
      </c>
      <c r="J1255" s="1538">
        <v>2</v>
      </c>
      <c r="K1255" s="1525"/>
      <c r="L1255" s="1519">
        <v>13117130608</v>
      </c>
      <c r="M1255" s="1520">
        <v>1</v>
      </c>
      <c r="N1255" s="1520">
        <v>1</v>
      </c>
      <c r="O1255" s="1521">
        <v>2</v>
      </c>
    </row>
    <row r="1256" spans="3:15" ht="13.5">
      <c r="C1256" s="1526" t="s">
        <v>5214</v>
      </c>
      <c r="D1256" s="1523">
        <v>1</v>
      </c>
      <c r="E1256" s="1523">
        <v>1</v>
      </c>
      <c r="F1256" s="1524">
        <v>2</v>
      </c>
      <c r="G1256" s="1537" t="s">
        <v>5214</v>
      </c>
      <c r="H1256" s="1521">
        <v>1</v>
      </c>
      <c r="I1256" s="1521">
        <v>1</v>
      </c>
      <c r="J1256" s="1538">
        <v>2</v>
      </c>
      <c r="K1256" s="1525"/>
      <c r="L1256" s="1519">
        <v>13117130609</v>
      </c>
      <c r="M1256" s="1520">
        <v>1</v>
      </c>
      <c r="N1256" s="1520">
        <v>1</v>
      </c>
      <c r="O1256" s="1521">
        <v>2</v>
      </c>
    </row>
    <row r="1257" spans="3:15" ht="13.5">
      <c r="C1257" s="1526" t="s">
        <v>5215</v>
      </c>
      <c r="D1257" s="1523">
        <v>1</v>
      </c>
      <c r="E1257" s="1523">
        <v>1</v>
      </c>
      <c r="F1257" s="1524">
        <v>2</v>
      </c>
      <c r="G1257" s="1537" t="s">
        <v>5215</v>
      </c>
      <c r="H1257" s="1521">
        <v>1</v>
      </c>
      <c r="I1257" s="1521">
        <v>1</v>
      </c>
      <c r="J1257" s="1538">
        <v>2</v>
      </c>
      <c r="K1257" s="1525"/>
      <c r="L1257" s="1519">
        <v>13117130610</v>
      </c>
      <c r="M1257" s="1520">
        <v>1</v>
      </c>
      <c r="N1257" s="1520">
        <v>1</v>
      </c>
      <c r="O1257" s="1521">
        <v>2</v>
      </c>
    </row>
    <row r="1258" spans="3:15" ht="13.5">
      <c r="C1258" s="1526" t="s">
        <v>5216</v>
      </c>
      <c r="D1258" s="1523">
        <v>1</v>
      </c>
      <c r="E1258" s="1523">
        <v>1</v>
      </c>
      <c r="F1258" s="1524">
        <v>2</v>
      </c>
      <c r="G1258" s="1537" t="s">
        <v>5216</v>
      </c>
      <c r="H1258" s="1521">
        <v>1</v>
      </c>
      <c r="I1258" s="1521">
        <v>1</v>
      </c>
      <c r="J1258" s="1538">
        <v>2</v>
      </c>
      <c r="K1258" s="1525"/>
      <c r="L1258" s="1519">
        <v>13117130611</v>
      </c>
      <c r="M1258" s="1520">
        <v>1</v>
      </c>
      <c r="N1258" s="1520">
        <v>1</v>
      </c>
      <c r="O1258" s="1521">
        <v>2</v>
      </c>
    </row>
    <row r="1259" spans="3:15" ht="13.5">
      <c r="C1259" s="1526" t="s">
        <v>5217</v>
      </c>
      <c r="D1259" s="1523">
        <v>1</v>
      </c>
      <c r="E1259" s="1523">
        <v>1</v>
      </c>
      <c r="F1259" s="1524">
        <v>2</v>
      </c>
      <c r="G1259" s="1537" t="s">
        <v>5217</v>
      </c>
      <c r="H1259" s="1521">
        <v>1</v>
      </c>
      <c r="I1259" s="1521">
        <v>1</v>
      </c>
      <c r="J1259" s="1538">
        <v>2</v>
      </c>
      <c r="K1259" s="1525"/>
      <c r="L1259" s="1519">
        <v>13117130612</v>
      </c>
      <c r="M1259" s="1520">
        <v>1</v>
      </c>
      <c r="N1259" s="1520">
        <v>1</v>
      </c>
      <c r="O1259" s="1521">
        <v>2</v>
      </c>
    </row>
    <row r="1260" spans="3:15" ht="13.5">
      <c r="C1260" s="1526" t="s">
        <v>5218</v>
      </c>
      <c r="D1260" s="1523">
        <v>1</v>
      </c>
      <c r="E1260" s="1523">
        <v>1</v>
      </c>
      <c r="F1260" s="1524">
        <v>2</v>
      </c>
      <c r="G1260" s="1537" t="s">
        <v>5218</v>
      </c>
      <c r="H1260" s="1521">
        <v>1</v>
      </c>
      <c r="I1260" s="1521" t="s">
        <v>4096</v>
      </c>
      <c r="J1260" s="1538">
        <v>1</v>
      </c>
      <c r="K1260" s="1525"/>
      <c r="L1260" s="1519">
        <v>13117130613</v>
      </c>
      <c r="M1260" s="1520">
        <v>1</v>
      </c>
      <c r="N1260" s="1520">
        <v>1</v>
      </c>
      <c r="O1260" s="1521">
        <v>2</v>
      </c>
    </row>
    <row r="1261" spans="3:15" ht="13.5">
      <c r="C1261" s="1526" t="s">
        <v>5219</v>
      </c>
      <c r="D1261" s="1523">
        <v>0</v>
      </c>
      <c r="E1261" s="1523">
        <v>0</v>
      </c>
      <c r="F1261" s="1524">
        <v>0</v>
      </c>
      <c r="G1261" s="1537" t="s">
        <v>5219</v>
      </c>
      <c r="H1261" s="1521">
        <v>0</v>
      </c>
      <c r="I1261" s="1521">
        <v>0</v>
      </c>
      <c r="J1261" s="1538">
        <v>0</v>
      </c>
      <c r="K1261" s="1525"/>
      <c r="L1261" s="1519">
        <v>13119890101</v>
      </c>
      <c r="M1261" s="1520">
        <v>0</v>
      </c>
      <c r="N1261" s="1520">
        <v>0</v>
      </c>
      <c r="O1261" s="1521">
        <v>0</v>
      </c>
    </row>
    <row r="1262" spans="3:15" ht="13.5">
      <c r="C1262" s="1526" t="s">
        <v>5220</v>
      </c>
      <c r="D1262" s="1523">
        <v>0</v>
      </c>
      <c r="E1262" s="1523">
        <v>1</v>
      </c>
      <c r="F1262" s="1524">
        <v>1</v>
      </c>
      <c r="G1262" s="1537" t="s">
        <v>5220</v>
      </c>
      <c r="H1262" s="1521">
        <v>0</v>
      </c>
      <c r="I1262" s="1521">
        <v>0</v>
      </c>
      <c r="J1262" s="1538">
        <v>0</v>
      </c>
      <c r="K1262" s="1525"/>
      <c r="L1262" s="1519">
        <v>13119890102</v>
      </c>
      <c r="M1262" s="1520">
        <v>0</v>
      </c>
      <c r="N1262" s="1520">
        <v>1</v>
      </c>
      <c r="O1262" s="1521">
        <v>1</v>
      </c>
    </row>
    <row r="1263" spans="3:15" ht="13.5">
      <c r="C1263" s="1526" t="s">
        <v>5221</v>
      </c>
      <c r="D1263" s="1523">
        <v>0</v>
      </c>
      <c r="E1263" s="1523">
        <v>0</v>
      </c>
      <c r="F1263" s="1524">
        <v>0</v>
      </c>
      <c r="G1263" s="1537" t="s">
        <v>5221</v>
      </c>
      <c r="H1263" s="1521">
        <v>0</v>
      </c>
      <c r="I1263" s="1521">
        <v>0</v>
      </c>
      <c r="J1263" s="1538">
        <v>0</v>
      </c>
      <c r="K1263" s="1525"/>
      <c r="L1263" s="1519">
        <v>13119890200</v>
      </c>
      <c r="M1263" s="1520">
        <v>0</v>
      </c>
      <c r="N1263" s="1520">
        <v>0</v>
      </c>
      <c r="O1263" s="1521">
        <v>0</v>
      </c>
    </row>
    <row r="1264" spans="3:15" ht="13.5">
      <c r="C1264" s="1526" t="s">
        <v>5222</v>
      </c>
      <c r="D1264" s="1523">
        <v>0</v>
      </c>
      <c r="E1264" s="1523">
        <v>0</v>
      </c>
      <c r="F1264" s="1524">
        <v>0</v>
      </c>
      <c r="G1264" s="1537" t="s">
        <v>5222</v>
      </c>
      <c r="H1264" s="1521">
        <v>0</v>
      </c>
      <c r="I1264" s="1521">
        <v>0</v>
      </c>
      <c r="J1264" s="1538">
        <v>0</v>
      </c>
      <c r="K1264" s="1525"/>
      <c r="L1264" s="1519">
        <v>13119890300</v>
      </c>
      <c r="M1264" s="1520">
        <v>0</v>
      </c>
      <c r="N1264" s="1520">
        <v>0</v>
      </c>
      <c r="O1264" s="1521">
        <v>0</v>
      </c>
    </row>
    <row r="1265" spans="3:15" ht="13.5">
      <c r="C1265" s="1526" t="s">
        <v>5223</v>
      </c>
      <c r="D1265" s="1523">
        <v>0</v>
      </c>
      <c r="E1265" s="1523">
        <v>0</v>
      </c>
      <c r="F1265" s="1524">
        <v>0</v>
      </c>
      <c r="G1265" s="1537" t="s">
        <v>5223</v>
      </c>
      <c r="H1265" s="1521">
        <v>0</v>
      </c>
      <c r="I1265" s="1521">
        <v>0</v>
      </c>
      <c r="J1265" s="1538">
        <v>0</v>
      </c>
      <c r="K1265" s="1525"/>
      <c r="L1265" s="1519">
        <v>13119890400</v>
      </c>
      <c r="M1265" s="1520">
        <v>0</v>
      </c>
      <c r="N1265" s="1520">
        <v>0</v>
      </c>
      <c r="O1265" s="1521">
        <v>0</v>
      </c>
    </row>
    <row r="1266" spans="3:15" ht="13.5">
      <c r="C1266" s="1526" t="s">
        <v>5224</v>
      </c>
      <c r="D1266" s="1523">
        <v>1</v>
      </c>
      <c r="E1266" s="1523">
        <v>1</v>
      </c>
      <c r="F1266" s="1524">
        <v>2</v>
      </c>
      <c r="G1266" s="1537" t="s">
        <v>5224</v>
      </c>
      <c r="H1266" s="1521">
        <v>1</v>
      </c>
      <c r="I1266" s="1521">
        <v>1</v>
      </c>
      <c r="J1266" s="1538">
        <v>2</v>
      </c>
      <c r="K1266" s="1525"/>
      <c r="L1266" s="1519">
        <v>13121000100</v>
      </c>
      <c r="M1266" s="1520">
        <v>1</v>
      </c>
      <c r="N1266" s="1520">
        <v>1</v>
      </c>
      <c r="O1266" s="1521">
        <v>2</v>
      </c>
    </row>
    <row r="1267" spans="3:15" ht="13.5">
      <c r="C1267" s="1526" t="s">
        <v>5225</v>
      </c>
      <c r="D1267" s="1523">
        <v>1</v>
      </c>
      <c r="E1267" s="1523">
        <v>1</v>
      </c>
      <c r="F1267" s="1524">
        <v>2</v>
      </c>
      <c r="G1267" s="1537" t="s">
        <v>5225</v>
      </c>
      <c r="H1267" s="1521">
        <v>1</v>
      </c>
      <c r="I1267" s="1521">
        <v>1</v>
      </c>
      <c r="J1267" s="1538">
        <v>2</v>
      </c>
      <c r="K1267" s="1525"/>
      <c r="L1267" s="1519">
        <v>13121000200</v>
      </c>
      <c r="M1267" s="1520">
        <v>1</v>
      </c>
      <c r="N1267" s="1520">
        <v>1</v>
      </c>
      <c r="O1267" s="1521">
        <v>2</v>
      </c>
    </row>
    <row r="1268" spans="3:15" ht="13.5">
      <c r="C1268" s="1526" t="s">
        <v>5226</v>
      </c>
      <c r="D1268" s="1523">
        <v>1</v>
      </c>
      <c r="E1268" s="1523">
        <v>1</v>
      </c>
      <c r="F1268" s="1524">
        <v>2</v>
      </c>
      <c r="G1268" s="1537" t="s">
        <v>5226</v>
      </c>
      <c r="H1268" s="1521">
        <v>1</v>
      </c>
      <c r="I1268" s="1521">
        <v>1</v>
      </c>
      <c r="J1268" s="1538">
        <v>2</v>
      </c>
      <c r="K1268" s="1525"/>
      <c r="L1268" s="1519">
        <v>13121000400</v>
      </c>
      <c r="M1268" s="1520">
        <v>1</v>
      </c>
      <c r="N1268" s="1520">
        <v>1</v>
      </c>
      <c r="O1268" s="1521">
        <v>2</v>
      </c>
    </row>
    <row r="1269" spans="3:15" ht="13.5">
      <c r="C1269" s="1526" t="s">
        <v>5227</v>
      </c>
      <c r="D1269" s="1523">
        <v>1</v>
      </c>
      <c r="E1269" s="1523">
        <v>1</v>
      </c>
      <c r="F1269" s="1524">
        <v>2</v>
      </c>
      <c r="G1269" s="1537" t="s">
        <v>5227</v>
      </c>
      <c r="H1269" s="1521">
        <v>1</v>
      </c>
      <c r="I1269" s="1521" t="s">
        <v>4096</v>
      </c>
      <c r="J1269" s="1538">
        <v>1</v>
      </c>
      <c r="K1269" s="1525"/>
      <c r="L1269" s="1519">
        <v>13121000500</v>
      </c>
      <c r="M1269" s="1520">
        <v>1</v>
      </c>
      <c r="N1269" s="1520">
        <v>1</v>
      </c>
      <c r="O1269" s="1521">
        <v>2</v>
      </c>
    </row>
    <row r="1270" spans="3:15" ht="13.5">
      <c r="C1270" s="1526" t="s">
        <v>5228</v>
      </c>
      <c r="D1270" s="1523">
        <v>0</v>
      </c>
      <c r="E1270" s="1523">
        <v>1</v>
      </c>
      <c r="F1270" s="1524">
        <v>1</v>
      </c>
      <c r="G1270" s="1537" t="s">
        <v>5228</v>
      </c>
      <c r="H1270" s="1521">
        <v>0</v>
      </c>
      <c r="I1270" s="1521" t="s">
        <v>4096</v>
      </c>
      <c r="J1270" s="1538">
        <v>0</v>
      </c>
      <c r="K1270" s="1525"/>
      <c r="L1270" s="1519">
        <v>13121000600</v>
      </c>
      <c r="M1270" s="1520">
        <v>0</v>
      </c>
      <c r="N1270" s="1520">
        <v>1</v>
      </c>
      <c r="O1270" s="1521">
        <v>1</v>
      </c>
    </row>
    <row r="1271" spans="3:15" ht="13.5">
      <c r="C1271" s="1526" t="s">
        <v>5229</v>
      </c>
      <c r="D1271" s="1523">
        <v>0</v>
      </c>
      <c r="E1271" s="1523">
        <v>0</v>
      </c>
      <c r="F1271" s="1524">
        <v>0</v>
      </c>
      <c r="G1271" s="1537" t="s">
        <v>5229</v>
      </c>
      <c r="H1271" s="1521">
        <v>0</v>
      </c>
      <c r="I1271" s="1521" t="s">
        <v>4096</v>
      </c>
      <c r="J1271" s="1538">
        <v>0</v>
      </c>
      <c r="K1271" s="1525"/>
      <c r="L1271" s="1519">
        <v>13121000700</v>
      </c>
      <c r="M1271" s="1520">
        <v>0</v>
      </c>
      <c r="N1271" s="1520">
        <v>0</v>
      </c>
      <c r="O1271" s="1521">
        <v>0</v>
      </c>
    </row>
    <row r="1272" spans="3:15" ht="13.5">
      <c r="C1272" s="1526" t="s">
        <v>5230</v>
      </c>
      <c r="D1272" s="1523">
        <v>1</v>
      </c>
      <c r="E1272" s="1523">
        <v>1</v>
      </c>
      <c r="F1272" s="1524">
        <v>2</v>
      </c>
      <c r="G1272" s="1537" t="s">
        <v>5230</v>
      </c>
      <c r="H1272" s="1521">
        <v>1</v>
      </c>
      <c r="I1272" s="1521" t="s">
        <v>4096</v>
      </c>
      <c r="J1272" s="1538">
        <v>1</v>
      </c>
      <c r="K1272" s="1525"/>
      <c r="L1272" s="1519">
        <v>13121001001</v>
      </c>
      <c r="M1272" s="1520">
        <v>1</v>
      </c>
      <c r="N1272" s="1520">
        <v>1</v>
      </c>
      <c r="O1272" s="1521">
        <v>2</v>
      </c>
    </row>
    <row r="1273" spans="3:15" ht="13.5">
      <c r="C1273" s="1526" t="s">
        <v>5231</v>
      </c>
      <c r="D1273" s="1523">
        <v>0</v>
      </c>
      <c r="E1273" s="1523">
        <v>1</v>
      </c>
      <c r="F1273" s="1524">
        <v>1</v>
      </c>
      <c r="G1273" s="1537" t="s">
        <v>5231</v>
      </c>
      <c r="H1273" s="1521">
        <v>0</v>
      </c>
      <c r="I1273" s="1521" t="s">
        <v>4096</v>
      </c>
      <c r="J1273" s="1538">
        <v>0</v>
      </c>
      <c r="K1273" s="1525"/>
      <c r="L1273" s="1519">
        <v>13121001002</v>
      </c>
      <c r="M1273" s="1520">
        <v>0</v>
      </c>
      <c r="N1273" s="1520">
        <v>1</v>
      </c>
      <c r="O1273" s="1521">
        <v>1</v>
      </c>
    </row>
    <row r="1274" spans="3:15" ht="13.5">
      <c r="C1274" s="1526" t="s">
        <v>5232</v>
      </c>
      <c r="D1274" s="1523">
        <v>1</v>
      </c>
      <c r="E1274" s="1523">
        <v>1</v>
      </c>
      <c r="F1274" s="1524">
        <v>2</v>
      </c>
      <c r="G1274" s="1537" t="s">
        <v>5232</v>
      </c>
      <c r="H1274" s="1521">
        <v>1</v>
      </c>
      <c r="I1274" s="1521" t="s">
        <v>4096</v>
      </c>
      <c r="J1274" s="1538">
        <v>1</v>
      </c>
      <c r="K1274" s="1525"/>
      <c r="L1274" s="1519">
        <v>13121001100</v>
      </c>
      <c r="M1274" s="1520">
        <v>1</v>
      </c>
      <c r="N1274" s="1520">
        <v>1</v>
      </c>
      <c r="O1274" s="1521">
        <v>2</v>
      </c>
    </row>
    <row r="1275" spans="3:15" ht="13.5">
      <c r="C1275" s="1526" t="s">
        <v>5233</v>
      </c>
      <c r="D1275" s="1523">
        <v>1</v>
      </c>
      <c r="E1275" s="1523">
        <v>1</v>
      </c>
      <c r="F1275" s="1524">
        <v>2</v>
      </c>
      <c r="G1275" s="1537" t="s">
        <v>5233</v>
      </c>
      <c r="H1275" s="1521">
        <v>1</v>
      </c>
      <c r="I1275" s="1521">
        <v>1</v>
      </c>
      <c r="J1275" s="1538">
        <v>2</v>
      </c>
      <c r="K1275" s="1525"/>
      <c r="L1275" s="1519">
        <v>13121001201</v>
      </c>
      <c r="M1275" s="1520">
        <v>1</v>
      </c>
      <c r="N1275" s="1520">
        <v>1</v>
      </c>
      <c r="O1275" s="1521">
        <v>2</v>
      </c>
    </row>
    <row r="1276" spans="3:15" ht="13.5">
      <c r="C1276" s="1526" t="s">
        <v>5234</v>
      </c>
      <c r="D1276" s="1523">
        <v>1</v>
      </c>
      <c r="E1276" s="1523">
        <v>1</v>
      </c>
      <c r="F1276" s="1524">
        <v>2</v>
      </c>
      <c r="G1276" s="1537" t="s">
        <v>5234</v>
      </c>
      <c r="H1276" s="1521">
        <v>1</v>
      </c>
      <c r="I1276" s="1521" t="s">
        <v>4096</v>
      </c>
      <c r="J1276" s="1538">
        <v>1</v>
      </c>
      <c r="K1276" s="1525"/>
      <c r="L1276" s="1519">
        <v>13121001202</v>
      </c>
      <c r="M1276" s="1520">
        <v>1</v>
      </c>
      <c r="N1276" s="1520">
        <v>1</v>
      </c>
      <c r="O1276" s="1521">
        <v>2</v>
      </c>
    </row>
    <row r="1277" spans="3:15" ht="13.5">
      <c r="C1277" s="1526" t="s">
        <v>5235</v>
      </c>
      <c r="D1277" s="1523">
        <v>1</v>
      </c>
      <c r="E1277" s="1523">
        <v>1</v>
      </c>
      <c r="F1277" s="1524">
        <v>2</v>
      </c>
      <c r="G1277" s="1537" t="s">
        <v>5235</v>
      </c>
      <c r="H1277" s="1521">
        <v>1</v>
      </c>
      <c r="I1277" s="1521">
        <v>1</v>
      </c>
      <c r="J1277" s="1538">
        <v>2</v>
      </c>
      <c r="K1277" s="1525"/>
      <c r="L1277" s="1519">
        <v>13121001300</v>
      </c>
      <c r="M1277" s="1520">
        <v>1</v>
      </c>
      <c r="N1277" s="1520">
        <v>1</v>
      </c>
      <c r="O1277" s="1521">
        <v>2</v>
      </c>
    </row>
    <row r="1278" spans="3:15" ht="13.5">
      <c r="C1278" s="1526" t="s">
        <v>5236</v>
      </c>
      <c r="D1278" s="1523">
        <v>1</v>
      </c>
      <c r="E1278" s="1523">
        <v>1</v>
      </c>
      <c r="F1278" s="1524">
        <v>2</v>
      </c>
      <c r="G1278" s="1537" t="s">
        <v>5236</v>
      </c>
      <c r="H1278" s="1521">
        <v>1</v>
      </c>
      <c r="I1278" s="1521" t="s">
        <v>4096</v>
      </c>
      <c r="J1278" s="1538">
        <v>1</v>
      </c>
      <c r="K1278" s="1525"/>
      <c r="L1278" s="1519">
        <v>13121001400</v>
      </c>
      <c r="M1278" s="1520">
        <v>1</v>
      </c>
      <c r="N1278" s="1520">
        <v>1</v>
      </c>
      <c r="O1278" s="1521">
        <v>2</v>
      </c>
    </row>
    <row r="1279" spans="3:15" ht="13.5">
      <c r="C1279" s="1526" t="s">
        <v>5237</v>
      </c>
      <c r="D1279" s="1523">
        <v>1</v>
      </c>
      <c r="E1279" s="1523">
        <v>1</v>
      </c>
      <c r="F1279" s="1524">
        <v>2</v>
      </c>
      <c r="G1279" s="1537" t="s">
        <v>5237</v>
      </c>
      <c r="H1279" s="1521">
        <v>1</v>
      </c>
      <c r="I1279" s="1521">
        <v>0</v>
      </c>
      <c r="J1279" s="1538">
        <v>1</v>
      </c>
      <c r="K1279" s="1525"/>
      <c r="L1279" s="1519">
        <v>13121001500</v>
      </c>
      <c r="M1279" s="1520">
        <v>1</v>
      </c>
      <c r="N1279" s="1520">
        <v>1</v>
      </c>
      <c r="O1279" s="1521">
        <v>2</v>
      </c>
    </row>
    <row r="1280" spans="3:15" ht="13.5">
      <c r="C1280" s="1526" t="s">
        <v>5238</v>
      </c>
      <c r="D1280" s="1523">
        <v>1</v>
      </c>
      <c r="E1280" s="1523">
        <v>1</v>
      </c>
      <c r="F1280" s="1524">
        <v>2</v>
      </c>
      <c r="G1280" s="1537" t="s">
        <v>5238</v>
      </c>
      <c r="H1280" s="1521">
        <v>1</v>
      </c>
      <c r="I1280" s="1521" t="s">
        <v>4096</v>
      </c>
      <c r="J1280" s="1538">
        <v>1</v>
      </c>
      <c r="K1280" s="1525"/>
      <c r="L1280" s="1519">
        <v>13121001600</v>
      </c>
      <c r="M1280" s="1520">
        <v>1</v>
      </c>
      <c r="N1280" s="1520">
        <v>1</v>
      </c>
      <c r="O1280" s="1521">
        <v>2</v>
      </c>
    </row>
    <row r="1281" spans="3:15" ht="13.5">
      <c r="C1281" s="1526" t="s">
        <v>5239</v>
      </c>
      <c r="D1281" s="1523">
        <v>1</v>
      </c>
      <c r="E1281" s="1523">
        <v>0</v>
      </c>
      <c r="F1281" s="1524">
        <v>1</v>
      </c>
      <c r="G1281" s="1537" t="s">
        <v>5239</v>
      </c>
      <c r="H1281" s="1521">
        <v>1</v>
      </c>
      <c r="I1281" s="1521">
        <v>1</v>
      </c>
      <c r="J1281" s="1538">
        <v>2</v>
      </c>
      <c r="K1281" s="1525"/>
      <c r="L1281" s="1519">
        <v>13121001700</v>
      </c>
      <c r="M1281" s="1520">
        <v>1</v>
      </c>
      <c r="N1281" s="1520">
        <v>1</v>
      </c>
      <c r="O1281" s="1521">
        <v>2</v>
      </c>
    </row>
    <row r="1282" spans="3:15" ht="13.5">
      <c r="C1282" s="1526" t="s">
        <v>5240</v>
      </c>
      <c r="D1282" s="1523">
        <v>0</v>
      </c>
      <c r="E1282" s="1523">
        <v>0</v>
      </c>
      <c r="F1282" s="1524">
        <v>0</v>
      </c>
      <c r="G1282" s="1537" t="s">
        <v>5240</v>
      </c>
      <c r="H1282" s="1521">
        <v>0</v>
      </c>
      <c r="I1282" s="1521">
        <v>1</v>
      </c>
      <c r="J1282" s="1538">
        <v>1</v>
      </c>
      <c r="K1282" s="1525"/>
      <c r="L1282" s="1519">
        <v>13121001800</v>
      </c>
      <c r="M1282" s="1520">
        <v>0</v>
      </c>
      <c r="N1282" s="1520">
        <v>1</v>
      </c>
      <c r="O1282" s="1521">
        <v>1</v>
      </c>
    </row>
    <row r="1283" spans="3:15" ht="13.5">
      <c r="C1283" s="1526" t="s">
        <v>5241</v>
      </c>
      <c r="D1283" s="1523">
        <v>0</v>
      </c>
      <c r="E1283" s="1523">
        <v>1</v>
      </c>
      <c r="F1283" s="1524">
        <v>1</v>
      </c>
      <c r="G1283" s="1537" t="s">
        <v>5241</v>
      </c>
      <c r="H1283" s="1521">
        <v>0</v>
      </c>
      <c r="I1283" s="1521" t="s">
        <v>4096</v>
      </c>
      <c r="J1283" s="1538">
        <v>0</v>
      </c>
      <c r="K1283" s="1525"/>
      <c r="L1283" s="1519">
        <v>13121001900</v>
      </c>
      <c r="M1283" s="1520">
        <v>0</v>
      </c>
      <c r="N1283" s="1520">
        <v>1</v>
      </c>
      <c r="O1283" s="1521">
        <v>1</v>
      </c>
    </row>
    <row r="1284" spans="3:15" ht="13.5">
      <c r="C1284" s="1526" t="s">
        <v>5242</v>
      </c>
      <c r="D1284" s="1523">
        <v>0</v>
      </c>
      <c r="E1284" s="1523">
        <v>0</v>
      </c>
      <c r="F1284" s="1524">
        <v>0</v>
      </c>
      <c r="G1284" s="1537" t="s">
        <v>5242</v>
      </c>
      <c r="H1284" s="1521">
        <v>0</v>
      </c>
      <c r="I1284" s="1521" t="s">
        <v>4096</v>
      </c>
      <c r="J1284" s="1538">
        <v>0</v>
      </c>
      <c r="K1284" s="1525"/>
      <c r="L1284" s="1519">
        <v>13121002100</v>
      </c>
      <c r="M1284" s="1520">
        <v>0</v>
      </c>
      <c r="N1284" s="1520">
        <v>0</v>
      </c>
      <c r="O1284" s="1521">
        <v>0</v>
      </c>
    </row>
    <row r="1285" spans="3:15" ht="13.5">
      <c r="C1285" s="1526" t="s">
        <v>5243</v>
      </c>
      <c r="D1285" s="1523">
        <v>0</v>
      </c>
      <c r="E1285" s="1523">
        <v>0</v>
      </c>
      <c r="F1285" s="1524">
        <v>0</v>
      </c>
      <c r="G1285" s="1537" t="s">
        <v>5243</v>
      </c>
      <c r="H1285" s="1521">
        <v>0</v>
      </c>
      <c r="I1285" s="1521">
        <v>0</v>
      </c>
      <c r="J1285" s="1538">
        <v>0</v>
      </c>
      <c r="K1285" s="1525"/>
      <c r="L1285" s="1519">
        <v>13121002300</v>
      </c>
      <c r="M1285" s="1520">
        <v>0</v>
      </c>
      <c r="N1285" s="1520">
        <v>0</v>
      </c>
      <c r="O1285" s="1521">
        <v>0</v>
      </c>
    </row>
    <row r="1286" spans="3:15" ht="13.5">
      <c r="C1286" s="1526" t="s">
        <v>5244</v>
      </c>
      <c r="D1286" s="1523">
        <v>0</v>
      </c>
      <c r="E1286" s="1523">
        <v>0</v>
      </c>
      <c r="F1286" s="1524">
        <v>0</v>
      </c>
      <c r="G1286" s="1537" t="s">
        <v>5244</v>
      </c>
      <c r="H1286" s="1521">
        <v>0</v>
      </c>
      <c r="I1286" s="1521">
        <v>0</v>
      </c>
      <c r="J1286" s="1538">
        <v>0</v>
      </c>
      <c r="K1286" s="1525"/>
      <c r="L1286" s="1519">
        <v>13121002400</v>
      </c>
      <c r="M1286" s="1520">
        <v>0</v>
      </c>
      <c r="N1286" s="1520">
        <v>0</v>
      </c>
      <c r="O1286" s="1521">
        <v>0</v>
      </c>
    </row>
    <row r="1287" spans="3:15" ht="13.5">
      <c r="C1287" s="1526" t="s">
        <v>5245</v>
      </c>
      <c r="D1287" s="1523">
        <v>0</v>
      </c>
      <c r="E1287" s="1523">
        <v>0</v>
      </c>
      <c r="F1287" s="1524">
        <v>0</v>
      </c>
      <c r="G1287" s="1537" t="s">
        <v>5245</v>
      </c>
      <c r="H1287" s="1521">
        <v>0</v>
      </c>
      <c r="I1287" s="1521">
        <v>0</v>
      </c>
      <c r="J1287" s="1538">
        <v>0</v>
      </c>
      <c r="K1287" s="1525"/>
      <c r="L1287" s="1519">
        <v>13121002500</v>
      </c>
      <c r="M1287" s="1520">
        <v>0</v>
      </c>
      <c r="N1287" s="1520">
        <v>0</v>
      </c>
      <c r="O1287" s="1521">
        <v>0</v>
      </c>
    </row>
    <row r="1288" spans="3:15" ht="13.5">
      <c r="C1288" s="1526" t="s">
        <v>5246</v>
      </c>
      <c r="D1288" s="1523">
        <v>0</v>
      </c>
      <c r="E1288" s="1523">
        <v>0</v>
      </c>
      <c r="F1288" s="1524">
        <v>0</v>
      </c>
      <c r="G1288" s="1537" t="s">
        <v>5246</v>
      </c>
      <c r="H1288" s="1521">
        <v>0</v>
      </c>
      <c r="I1288" s="1521" t="s">
        <v>4096</v>
      </c>
      <c r="J1288" s="1538">
        <v>0</v>
      </c>
      <c r="K1288" s="1525"/>
      <c r="L1288" s="1519">
        <v>13121002600</v>
      </c>
      <c r="M1288" s="1520">
        <v>0</v>
      </c>
      <c r="N1288" s="1520">
        <v>0</v>
      </c>
      <c r="O1288" s="1521">
        <v>0</v>
      </c>
    </row>
    <row r="1289" spans="3:15" ht="13.5">
      <c r="C1289" s="1526" t="s">
        <v>5247</v>
      </c>
      <c r="D1289" s="1523">
        <v>0</v>
      </c>
      <c r="E1289" s="1523">
        <v>0</v>
      </c>
      <c r="F1289" s="1524">
        <v>0</v>
      </c>
      <c r="G1289" s="1537" t="s">
        <v>5247</v>
      </c>
      <c r="H1289" s="1521">
        <v>0</v>
      </c>
      <c r="I1289" s="1521" t="s">
        <v>4096</v>
      </c>
      <c r="J1289" s="1538">
        <v>0</v>
      </c>
      <c r="K1289" s="1525"/>
      <c r="L1289" s="1519">
        <v>13121002800</v>
      </c>
      <c r="M1289" s="1520">
        <v>0</v>
      </c>
      <c r="N1289" s="1520">
        <v>0</v>
      </c>
      <c r="O1289" s="1521">
        <v>0</v>
      </c>
    </row>
    <row r="1290" spans="3:15" ht="13.5">
      <c r="C1290" s="1526" t="s">
        <v>5248</v>
      </c>
      <c r="D1290" s="1523">
        <v>1</v>
      </c>
      <c r="E1290" s="1523">
        <v>1</v>
      </c>
      <c r="F1290" s="1524">
        <v>2</v>
      </c>
      <c r="G1290" s="1537" t="s">
        <v>5248</v>
      </c>
      <c r="H1290" s="1521">
        <v>1</v>
      </c>
      <c r="I1290" s="1521">
        <v>1</v>
      </c>
      <c r="J1290" s="1538">
        <v>2</v>
      </c>
      <c r="K1290" s="1525"/>
      <c r="L1290" s="1519">
        <v>13121002900</v>
      </c>
      <c r="M1290" s="1520">
        <v>1</v>
      </c>
      <c r="N1290" s="1520">
        <v>1</v>
      </c>
      <c r="O1290" s="1521">
        <v>2</v>
      </c>
    </row>
    <row r="1291" spans="3:15" ht="13.5">
      <c r="C1291" s="1526" t="s">
        <v>5249</v>
      </c>
      <c r="D1291" s="1523">
        <v>1</v>
      </c>
      <c r="E1291" s="1523">
        <v>1</v>
      </c>
      <c r="F1291" s="1524">
        <v>2</v>
      </c>
      <c r="G1291" s="1537" t="s">
        <v>5249</v>
      </c>
      <c r="H1291" s="1521">
        <v>1</v>
      </c>
      <c r="I1291" s="1521" t="s">
        <v>4096</v>
      </c>
      <c r="J1291" s="1538">
        <v>1</v>
      </c>
      <c r="K1291" s="1525"/>
      <c r="L1291" s="1519">
        <v>13121003000</v>
      </c>
      <c r="M1291" s="1520">
        <v>1</v>
      </c>
      <c r="N1291" s="1520">
        <v>1</v>
      </c>
      <c r="O1291" s="1521">
        <v>2</v>
      </c>
    </row>
    <row r="1292" spans="3:15" ht="13.5">
      <c r="C1292" s="1526" t="s">
        <v>5250</v>
      </c>
      <c r="D1292" s="1523">
        <v>1</v>
      </c>
      <c r="E1292" s="1523">
        <v>0</v>
      </c>
      <c r="F1292" s="1524">
        <v>1</v>
      </c>
      <c r="G1292" s="1537" t="s">
        <v>5250</v>
      </c>
      <c r="H1292" s="1521">
        <v>1</v>
      </c>
      <c r="I1292" s="1521">
        <v>0</v>
      </c>
      <c r="J1292" s="1538">
        <v>1</v>
      </c>
      <c r="K1292" s="1525"/>
      <c r="L1292" s="1519">
        <v>13121003100</v>
      </c>
      <c r="M1292" s="1520">
        <v>1</v>
      </c>
      <c r="N1292" s="1520">
        <v>0</v>
      </c>
      <c r="O1292" s="1521">
        <v>1</v>
      </c>
    </row>
    <row r="1293" spans="3:15" ht="13.5">
      <c r="C1293" s="1526" t="s">
        <v>5251</v>
      </c>
      <c r="D1293" s="1523">
        <v>1</v>
      </c>
      <c r="E1293" s="1523">
        <v>1</v>
      </c>
      <c r="F1293" s="1524">
        <v>2</v>
      </c>
      <c r="G1293" s="1537" t="s">
        <v>5251</v>
      </c>
      <c r="H1293" s="1521">
        <v>1</v>
      </c>
      <c r="I1293" s="1521" t="s">
        <v>4096</v>
      </c>
      <c r="J1293" s="1538">
        <v>1</v>
      </c>
      <c r="K1293" s="1525"/>
      <c r="L1293" s="1519">
        <v>13121003200</v>
      </c>
      <c r="M1293" s="1520">
        <v>1</v>
      </c>
      <c r="N1293" s="1520">
        <v>1</v>
      </c>
      <c r="O1293" s="1521">
        <v>2</v>
      </c>
    </row>
    <row r="1294" spans="3:15" ht="13.5">
      <c r="C1294" s="1526" t="s">
        <v>5252</v>
      </c>
      <c r="D1294" s="1523">
        <v>0</v>
      </c>
      <c r="E1294" s="1523">
        <v>0</v>
      </c>
      <c r="F1294" s="1524">
        <v>0</v>
      </c>
      <c r="G1294" s="1537" t="s">
        <v>5252</v>
      </c>
      <c r="H1294" s="1521">
        <v>0</v>
      </c>
      <c r="I1294" s="1521" t="s">
        <v>4096</v>
      </c>
      <c r="J1294" s="1538">
        <v>0</v>
      </c>
      <c r="K1294" s="1525"/>
      <c r="L1294" s="1519">
        <v>13121003500</v>
      </c>
      <c r="M1294" s="1520">
        <v>0</v>
      </c>
      <c r="N1294" s="1520">
        <v>0</v>
      </c>
      <c r="O1294" s="1521">
        <v>0</v>
      </c>
    </row>
    <row r="1295" spans="3:15" ht="13.5">
      <c r="C1295" s="1526" t="s">
        <v>5253</v>
      </c>
      <c r="D1295" s="1523">
        <v>1</v>
      </c>
      <c r="E1295" s="1523">
        <v>0</v>
      </c>
      <c r="F1295" s="1524">
        <v>1</v>
      </c>
      <c r="G1295" s="1537" t="s">
        <v>5253</v>
      </c>
      <c r="H1295" s="1521">
        <v>0</v>
      </c>
      <c r="I1295" s="1521">
        <v>0</v>
      </c>
      <c r="J1295" s="1538">
        <v>0</v>
      </c>
      <c r="K1295" s="1525"/>
      <c r="L1295" s="1519">
        <v>13121003600</v>
      </c>
      <c r="M1295" s="1520">
        <v>1</v>
      </c>
      <c r="N1295" s="1520">
        <v>0</v>
      </c>
      <c r="O1295" s="1521">
        <v>1</v>
      </c>
    </row>
    <row r="1296" spans="3:15" ht="13.5">
      <c r="C1296" s="1526" t="s">
        <v>5254</v>
      </c>
      <c r="D1296" s="1523" t="s">
        <v>4096</v>
      </c>
      <c r="E1296" s="1523" t="s">
        <v>4096</v>
      </c>
      <c r="F1296" s="1524">
        <v>0</v>
      </c>
      <c r="G1296" s="1537" t="s">
        <v>5254</v>
      </c>
      <c r="H1296" s="1521">
        <v>0</v>
      </c>
      <c r="I1296" s="1521" t="s">
        <v>4096</v>
      </c>
      <c r="J1296" s="1538">
        <v>0</v>
      </c>
      <c r="K1296" s="1525"/>
      <c r="L1296" s="1519">
        <v>13121003700</v>
      </c>
      <c r="M1296" s="1520">
        <v>0</v>
      </c>
      <c r="N1296" s="1520">
        <v>0</v>
      </c>
      <c r="O1296" s="1521">
        <v>0</v>
      </c>
    </row>
    <row r="1297" spans="3:15" ht="13.5">
      <c r="C1297" s="1526" t="s">
        <v>5255</v>
      </c>
      <c r="D1297" s="1523">
        <v>0</v>
      </c>
      <c r="E1297" s="1523">
        <v>0</v>
      </c>
      <c r="F1297" s="1524">
        <v>0</v>
      </c>
      <c r="G1297" s="1537" t="s">
        <v>5255</v>
      </c>
      <c r="H1297" s="1521">
        <v>0</v>
      </c>
      <c r="I1297" s="1521" t="s">
        <v>4096</v>
      </c>
      <c r="J1297" s="1538">
        <v>0</v>
      </c>
      <c r="K1297" s="1525"/>
      <c r="L1297" s="1519">
        <v>13121003800</v>
      </c>
      <c r="M1297" s="1520">
        <v>0</v>
      </c>
      <c r="N1297" s="1520">
        <v>0</v>
      </c>
      <c r="O1297" s="1521">
        <v>0</v>
      </c>
    </row>
    <row r="1298" spans="3:15" ht="13.5">
      <c r="C1298" s="1526" t="s">
        <v>5256</v>
      </c>
      <c r="D1298" s="1523">
        <v>0</v>
      </c>
      <c r="E1298" s="1523">
        <v>0</v>
      </c>
      <c r="F1298" s="1524">
        <v>0</v>
      </c>
      <c r="G1298" s="1537" t="s">
        <v>5256</v>
      </c>
      <c r="H1298" s="1521">
        <v>0</v>
      </c>
      <c r="I1298" s="1521">
        <v>0</v>
      </c>
      <c r="J1298" s="1538">
        <v>0</v>
      </c>
      <c r="K1298" s="1525"/>
      <c r="L1298" s="1519">
        <v>13121003900</v>
      </c>
      <c r="M1298" s="1520">
        <v>0</v>
      </c>
      <c r="N1298" s="1520">
        <v>0</v>
      </c>
      <c r="O1298" s="1521">
        <v>0</v>
      </c>
    </row>
    <row r="1299" spans="3:15" ht="13.5">
      <c r="C1299" s="1526" t="s">
        <v>5257</v>
      </c>
      <c r="D1299" s="1523">
        <v>0</v>
      </c>
      <c r="E1299" s="1523">
        <v>0</v>
      </c>
      <c r="F1299" s="1524">
        <v>0</v>
      </c>
      <c r="G1299" s="1537" t="s">
        <v>5257</v>
      </c>
      <c r="H1299" s="1521">
        <v>0</v>
      </c>
      <c r="I1299" s="1521">
        <v>0</v>
      </c>
      <c r="J1299" s="1538">
        <v>0</v>
      </c>
      <c r="K1299" s="1525"/>
      <c r="L1299" s="1519">
        <v>13121004000</v>
      </c>
      <c r="M1299" s="1520">
        <v>0</v>
      </c>
      <c r="N1299" s="1520">
        <v>0</v>
      </c>
      <c r="O1299" s="1521">
        <v>0</v>
      </c>
    </row>
    <row r="1300" spans="3:15" ht="13.5">
      <c r="C1300" s="1526" t="s">
        <v>5258</v>
      </c>
      <c r="D1300" s="1523">
        <v>0</v>
      </c>
      <c r="E1300" s="1523">
        <v>0</v>
      </c>
      <c r="F1300" s="1524">
        <v>0</v>
      </c>
      <c r="G1300" s="1537" t="s">
        <v>5258</v>
      </c>
      <c r="H1300" s="1521">
        <v>0</v>
      </c>
      <c r="I1300" s="1521">
        <v>0</v>
      </c>
      <c r="J1300" s="1538">
        <v>0</v>
      </c>
      <c r="K1300" s="1525"/>
      <c r="L1300" s="1519">
        <v>13121004100</v>
      </c>
      <c r="M1300" s="1520">
        <v>0</v>
      </c>
      <c r="N1300" s="1520">
        <v>0</v>
      </c>
      <c r="O1300" s="1521">
        <v>0</v>
      </c>
    </row>
    <row r="1301" spans="3:15" ht="13.5">
      <c r="C1301" s="1526" t="s">
        <v>5259</v>
      </c>
      <c r="D1301" s="1523">
        <v>0</v>
      </c>
      <c r="E1301" s="1523">
        <v>0</v>
      </c>
      <c r="F1301" s="1524">
        <v>0</v>
      </c>
      <c r="G1301" s="1537" t="s">
        <v>5259</v>
      </c>
      <c r="H1301" s="1521">
        <v>0</v>
      </c>
      <c r="I1301" s="1521">
        <v>0</v>
      </c>
      <c r="J1301" s="1538">
        <v>0</v>
      </c>
      <c r="K1301" s="1525"/>
      <c r="L1301" s="1519">
        <v>13121004200</v>
      </c>
      <c r="M1301" s="1520">
        <v>0</v>
      </c>
      <c r="N1301" s="1520">
        <v>0</v>
      </c>
      <c r="O1301" s="1521">
        <v>0</v>
      </c>
    </row>
    <row r="1302" spans="3:15" ht="13.5">
      <c r="C1302" s="1526" t="s">
        <v>5260</v>
      </c>
      <c r="D1302" s="1523">
        <v>0</v>
      </c>
      <c r="E1302" s="1523">
        <v>0</v>
      </c>
      <c r="F1302" s="1524">
        <v>0</v>
      </c>
      <c r="G1302" s="1537" t="s">
        <v>5260</v>
      </c>
      <c r="H1302" s="1521">
        <v>0</v>
      </c>
      <c r="I1302" s="1521" t="s">
        <v>4096</v>
      </c>
      <c r="J1302" s="1538">
        <v>0</v>
      </c>
      <c r="K1302" s="1525"/>
      <c r="L1302" s="1519">
        <v>13121004300</v>
      </c>
      <c r="M1302" s="1520">
        <v>0</v>
      </c>
      <c r="N1302" s="1520">
        <v>0</v>
      </c>
      <c r="O1302" s="1521">
        <v>0</v>
      </c>
    </row>
    <row r="1303" spans="3:15" ht="13.5">
      <c r="C1303" s="1526" t="s">
        <v>5261</v>
      </c>
      <c r="D1303" s="1523">
        <v>0</v>
      </c>
      <c r="E1303" s="1523">
        <v>0</v>
      </c>
      <c r="F1303" s="1524">
        <v>0</v>
      </c>
      <c r="G1303" s="1537" t="s">
        <v>5261</v>
      </c>
      <c r="H1303" s="1521">
        <v>0</v>
      </c>
      <c r="I1303" s="1521">
        <v>0</v>
      </c>
      <c r="J1303" s="1538">
        <v>0</v>
      </c>
      <c r="K1303" s="1525"/>
      <c r="L1303" s="1519">
        <v>13121004400</v>
      </c>
      <c r="M1303" s="1520">
        <v>0</v>
      </c>
      <c r="N1303" s="1520">
        <v>0</v>
      </c>
      <c r="O1303" s="1521">
        <v>0</v>
      </c>
    </row>
    <row r="1304" spans="3:15" ht="13.5">
      <c r="C1304" s="1526" t="s">
        <v>5262</v>
      </c>
      <c r="D1304" s="1523">
        <v>0</v>
      </c>
      <c r="E1304" s="1523">
        <v>0</v>
      </c>
      <c r="F1304" s="1524">
        <v>0</v>
      </c>
      <c r="G1304" s="1537" t="s">
        <v>5262</v>
      </c>
      <c r="H1304" s="1521">
        <v>0</v>
      </c>
      <c r="I1304" s="1521" t="s">
        <v>4096</v>
      </c>
      <c r="J1304" s="1538">
        <v>0</v>
      </c>
      <c r="K1304" s="1525"/>
      <c r="L1304" s="1519">
        <v>13121004800</v>
      </c>
      <c r="M1304" s="1520">
        <v>0</v>
      </c>
      <c r="N1304" s="1520">
        <v>0</v>
      </c>
      <c r="O1304" s="1521">
        <v>0</v>
      </c>
    </row>
    <row r="1305" spans="3:15" ht="13.5">
      <c r="C1305" s="1526" t="s">
        <v>5263</v>
      </c>
      <c r="D1305" s="1523">
        <v>1</v>
      </c>
      <c r="E1305" s="1523">
        <v>0</v>
      </c>
      <c r="F1305" s="1524">
        <v>1</v>
      </c>
      <c r="G1305" s="1537" t="s">
        <v>5263</v>
      </c>
      <c r="H1305" s="1521">
        <v>1</v>
      </c>
      <c r="I1305" s="1521" t="s">
        <v>4096</v>
      </c>
      <c r="J1305" s="1538">
        <v>1</v>
      </c>
      <c r="K1305" s="1525"/>
      <c r="L1305" s="1519">
        <v>13121004900</v>
      </c>
      <c r="M1305" s="1520">
        <v>1</v>
      </c>
      <c r="N1305" s="1520">
        <v>0</v>
      </c>
      <c r="O1305" s="1521">
        <v>1</v>
      </c>
    </row>
    <row r="1306" spans="3:15" ht="13.5">
      <c r="C1306" s="1526" t="s">
        <v>5264</v>
      </c>
      <c r="D1306" s="1523">
        <v>1</v>
      </c>
      <c r="E1306" s="1523">
        <v>1</v>
      </c>
      <c r="F1306" s="1524">
        <v>2</v>
      </c>
      <c r="G1306" s="1537" t="s">
        <v>5264</v>
      </c>
      <c r="H1306" s="1521">
        <v>1</v>
      </c>
      <c r="I1306" s="1521">
        <v>1</v>
      </c>
      <c r="J1306" s="1538">
        <v>2</v>
      </c>
      <c r="K1306" s="1525"/>
      <c r="L1306" s="1519">
        <v>13121005000</v>
      </c>
      <c r="M1306" s="1520">
        <v>1</v>
      </c>
      <c r="N1306" s="1520">
        <v>1</v>
      </c>
      <c r="O1306" s="1521">
        <v>2</v>
      </c>
    </row>
    <row r="1307" spans="3:15" ht="13.5">
      <c r="C1307" s="1526" t="s">
        <v>5265</v>
      </c>
      <c r="D1307" s="1523">
        <v>1</v>
      </c>
      <c r="E1307" s="1523">
        <v>1</v>
      </c>
      <c r="F1307" s="1524">
        <v>2</v>
      </c>
      <c r="G1307" s="1537" t="s">
        <v>5265</v>
      </c>
      <c r="H1307" s="1521">
        <v>1</v>
      </c>
      <c r="I1307" s="1521">
        <v>1</v>
      </c>
      <c r="J1307" s="1538">
        <v>2</v>
      </c>
      <c r="K1307" s="1525"/>
      <c r="L1307" s="1519">
        <v>13121005200</v>
      </c>
      <c r="M1307" s="1520">
        <v>1</v>
      </c>
      <c r="N1307" s="1520">
        <v>1</v>
      </c>
      <c r="O1307" s="1521">
        <v>2</v>
      </c>
    </row>
    <row r="1308" spans="3:15" ht="13.5">
      <c r="C1308" s="1526" t="s">
        <v>5266</v>
      </c>
      <c r="D1308" s="1523">
        <v>1</v>
      </c>
      <c r="E1308" s="1523">
        <v>1</v>
      </c>
      <c r="F1308" s="1524">
        <v>2</v>
      </c>
      <c r="G1308" s="1537" t="s">
        <v>5266</v>
      </c>
      <c r="H1308" s="1521">
        <v>1</v>
      </c>
      <c r="I1308" s="1521">
        <v>1</v>
      </c>
      <c r="J1308" s="1538">
        <v>2</v>
      </c>
      <c r="K1308" s="1525"/>
      <c r="L1308" s="1519">
        <v>13121005300</v>
      </c>
      <c r="M1308" s="1520">
        <v>1</v>
      </c>
      <c r="N1308" s="1520">
        <v>1</v>
      </c>
      <c r="O1308" s="1521">
        <v>2</v>
      </c>
    </row>
    <row r="1309" spans="3:15" ht="13.5">
      <c r="C1309" s="1526" t="s">
        <v>5267</v>
      </c>
      <c r="D1309" s="1523">
        <v>0</v>
      </c>
      <c r="E1309" s="1523">
        <v>0</v>
      </c>
      <c r="F1309" s="1524">
        <v>0</v>
      </c>
      <c r="G1309" s="1537" t="s">
        <v>5267</v>
      </c>
      <c r="H1309" s="1521">
        <v>0</v>
      </c>
      <c r="I1309" s="1521">
        <v>0</v>
      </c>
      <c r="J1309" s="1538">
        <v>0</v>
      </c>
      <c r="K1309" s="1525"/>
      <c r="L1309" s="1519">
        <v>13121005501</v>
      </c>
      <c r="M1309" s="1520">
        <v>0</v>
      </c>
      <c r="N1309" s="1520">
        <v>0</v>
      </c>
      <c r="O1309" s="1521">
        <v>0</v>
      </c>
    </row>
    <row r="1310" spans="3:15" ht="13.5">
      <c r="C1310" s="1526" t="s">
        <v>5268</v>
      </c>
      <c r="D1310" s="1523">
        <v>0</v>
      </c>
      <c r="E1310" s="1523">
        <v>0</v>
      </c>
      <c r="F1310" s="1524">
        <v>0</v>
      </c>
      <c r="G1310" s="1537" t="s">
        <v>5268</v>
      </c>
      <c r="H1310" s="1521">
        <v>0</v>
      </c>
      <c r="I1310" s="1521">
        <v>0</v>
      </c>
      <c r="J1310" s="1538">
        <v>0</v>
      </c>
      <c r="K1310" s="1525"/>
      <c r="L1310" s="1519">
        <v>13121005502</v>
      </c>
      <c r="M1310" s="1520">
        <v>0</v>
      </c>
      <c r="N1310" s="1520">
        <v>0</v>
      </c>
      <c r="O1310" s="1521">
        <v>0</v>
      </c>
    </row>
    <row r="1311" spans="3:15" ht="13.5">
      <c r="C1311" s="1526" t="s">
        <v>5269</v>
      </c>
      <c r="D1311" s="1523">
        <v>0</v>
      </c>
      <c r="E1311" s="1523">
        <v>0</v>
      </c>
      <c r="F1311" s="1524">
        <v>0</v>
      </c>
      <c r="G1311" s="1537" t="s">
        <v>5269</v>
      </c>
      <c r="H1311" s="1521">
        <v>0</v>
      </c>
      <c r="I1311" s="1521">
        <v>0</v>
      </c>
      <c r="J1311" s="1538">
        <v>0</v>
      </c>
      <c r="K1311" s="1525"/>
      <c r="L1311" s="1519">
        <v>13121005700</v>
      </c>
      <c r="M1311" s="1520">
        <v>0</v>
      </c>
      <c r="N1311" s="1520">
        <v>0</v>
      </c>
      <c r="O1311" s="1521">
        <v>0</v>
      </c>
    </row>
    <row r="1312" spans="3:15" ht="13.5">
      <c r="C1312" s="1526" t="s">
        <v>5270</v>
      </c>
      <c r="D1312" s="1523">
        <v>0</v>
      </c>
      <c r="E1312" s="1523">
        <v>0</v>
      </c>
      <c r="F1312" s="1524">
        <v>0</v>
      </c>
      <c r="G1312" s="1537" t="s">
        <v>5270</v>
      </c>
      <c r="H1312" s="1521">
        <v>0</v>
      </c>
      <c r="I1312" s="1521">
        <v>0</v>
      </c>
      <c r="J1312" s="1538">
        <v>0</v>
      </c>
      <c r="K1312" s="1525"/>
      <c r="L1312" s="1519">
        <v>13121005800</v>
      </c>
      <c r="M1312" s="1520">
        <v>0</v>
      </c>
      <c r="N1312" s="1520">
        <v>0</v>
      </c>
      <c r="O1312" s="1521">
        <v>0</v>
      </c>
    </row>
    <row r="1313" spans="3:15" ht="13.5">
      <c r="C1313" s="1526" t="s">
        <v>5271</v>
      </c>
      <c r="D1313" s="1523">
        <v>0</v>
      </c>
      <c r="E1313" s="1523">
        <v>0</v>
      </c>
      <c r="F1313" s="1524">
        <v>0</v>
      </c>
      <c r="G1313" s="1537" t="s">
        <v>5271</v>
      </c>
      <c r="H1313" s="1521">
        <v>0</v>
      </c>
      <c r="I1313" s="1521">
        <v>0</v>
      </c>
      <c r="J1313" s="1538">
        <v>0</v>
      </c>
      <c r="K1313" s="1525"/>
      <c r="L1313" s="1519">
        <v>13121006000</v>
      </c>
      <c r="M1313" s="1520">
        <v>0</v>
      </c>
      <c r="N1313" s="1520">
        <v>0</v>
      </c>
      <c r="O1313" s="1521">
        <v>0</v>
      </c>
    </row>
    <row r="1314" spans="3:15" ht="13.5">
      <c r="C1314" s="1526" t="s">
        <v>5272</v>
      </c>
      <c r="D1314" s="1523">
        <v>0</v>
      </c>
      <c r="E1314" s="1523">
        <v>0</v>
      </c>
      <c r="F1314" s="1524">
        <v>0</v>
      </c>
      <c r="G1314" s="1537" t="s">
        <v>5272</v>
      </c>
      <c r="H1314" s="1521">
        <v>0</v>
      </c>
      <c r="I1314" s="1521">
        <v>0</v>
      </c>
      <c r="J1314" s="1538">
        <v>0</v>
      </c>
      <c r="K1314" s="1525"/>
      <c r="L1314" s="1519">
        <v>13121006100</v>
      </c>
      <c r="M1314" s="1520">
        <v>0</v>
      </c>
      <c r="N1314" s="1520">
        <v>0</v>
      </c>
      <c r="O1314" s="1521">
        <v>0</v>
      </c>
    </row>
    <row r="1315" spans="3:15" ht="13.5">
      <c r="C1315" s="1526" t="s">
        <v>5273</v>
      </c>
      <c r="D1315" s="1523">
        <v>0</v>
      </c>
      <c r="E1315" s="1523">
        <v>0</v>
      </c>
      <c r="F1315" s="1524">
        <v>0</v>
      </c>
      <c r="G1315" s="1537" t="s">
        <v>5273</v>
      </c>
      <c r="H1315" s="1521">
        <v>0</v>
      </c>
      <c r="I1315" s="1521">
        <v>0</v>
      </c>
      <c r="J1315" s="1538">
        <v>0</v>
      </c>
      <c r="K1315" s="1525"/>
      <c r="L1315" s="1519">
        <v>13121006200</v>
      </c>
      <c r="M1315" s="1520">
        <v>0</v>
      </c>
      <c r="N1315" s="1520">
        <v>0</v>
      </c>
      <c r="O1315" s="1521">
        <v>0</v>
      </c>
    </row>
    <row r="1316" spans="3:15" ht="13.5">
      <c r="C1316" s="1526" t="s">
        <v>5274</v>
      </c>
      <c r="D1316" s="1523">
        <v>0</v>
      </c>
      <c r="E1316" s="1523">
        <v>0</v>
      </c>
      <c r="F1316" s="1524">
        <v>0</v>
      </c>
      <c r="G1316" s="1537" t="s">
        <v>5274</v>
      </c>
      <c r="H1316" s="1521">
        <v>0</v>
      </c>
      <c r="I1316" s="1521">
        <v>0</v>
      </c>
      <c r="J1316" s="1538">
        <v>0</v>
      </c>
      <c r="K1316" s="1525"/>
      <c r="L1316" s="1519">
        <v>13121006300</v>
      </c>
      <c r="M1316" s="1520">
        <v>0</v>
      </c>
      <c r="N1316" s="1520">
        <v>0</v>
      </c>
      <c r="O1316" s="1521">
        <v>0</v>
      </c>
    </row>
    <row r="1317" spans="3:15" ht="13.5">
      <c r="C1317" s="1526" t="s">
        <v>5275</v>
      </c>
      <c r="D1317" s="1523">
        <v>0</v>
      </c>
      <c r="E1317" s="1523">
        <v>0</v>
      </c>
      <c r="F1317" s="1524">
        <v>0</v>
      </c>
      <c r="G1317" s="1537" t="s">
        <v>5275</v>
      </c>
      <c r="H1317" s="1521">
        <v>0</v>
      </c>
      <c r="I1317" s="1521" t="s">
        <v>4096</v>
      </c>
      <c r="J1317" s="1538">
        <v>0</v>
      </c>
      <c r="K1317" s="1525"/>
      <c r="L1317" s="1519">
        <v>13121006400</v>
      </c>
      <c r="M1317" s="1520">
        <v>0</v>
      </c>
      <c r="N1317" s="1520">
        <v>0</v>
      </c>
      <c r="O1317" s="1521">
        <v>0</v>
      </c>
    </row>
    <row r="1318" spans="3:15" ht="13.5">
      <c r="C1318" s="1526" t="s">
        <v>5276</v>
      </c>
      <c r="D1318" s="1523">
        <v>0</v>
      </c>
      <c r="E1318" s="1523">
        <v>0</v>
      </c>
      <c r="F1318" s="1524">
        <v>0</v>
      </c>
      <c r="G1318" s="1537" t="s">
        <v>5276</v>
      </c>
      <c r="H1318" s="1521">
        <v>0</v>
      </c>
      <c r="I1318" s="1521">
        <v>0</v>
      </c>
      <c r="J1318" s="1538">
        <v>0</v>
      </c>
      <c r="K1318" s="1525"/>
      <c r="L1318" s="1519">
        <v>13121006500</v>
      </c>
      <c r="M1318" s="1520">
        <v>0</v>
      </c>
      <c r="N1318" s="1520">
        <v>0</v>
      </c>
      <c r="O1318" s="1521">
        <v>0</v>
      </c>
    </row>
    <row r="1319" spans="3:15" ht="13.5">
      <c r="C1319" s="1526" t="s">
        <v>5277</v>
      </c>
      <c r="D1319" s="1523">
        <v>0</v>
      </c>
      <c r="E1319" s="1523">
        <v>0</v>
      </c>
      <c r="F1319" s="1524">
        <v>0</v>
      </c>
      <c r="G1319" s="1537" t="s">
        <v>5277</v>
      </c>
      <c r="H1319" s="1521">
        <v>0</v>
      </c>
      <c r="I1319" s="1521">
        <v>0</v>
      </c>
      <c r="J1319" s="1538">
        <v>0</v>
      </c>
      <c r="K1319" s="1525"/>
      <c r="L1319" s="1519">
        <v>13121006601</v>
      </c>
      <c r="M1319" s="1520">
        <v>0</v>
      </c>
      <c r="N1319" s="1520">
        <v>0</v>
      </c>
      <c r="O1319" s="1521">
        <v>0</v>
      </c>
    </row>
    <row r="1320" spans="3:15" ht="13.5">
      <c r="C1320" s="1526" t="s">
        <v>5278</v>
      </c>
      <c r="D1320" s="1523">
        <v>0</v>
      </c>
      <c r="E1320" s="1523">
        <v>0</v>
      </c>
      <c r="F1320" s="1524">
        <v>0</v>
      </c>
      <c r="G1320" s="1537" t="s">
        <v>5278</v>
      </c>
      <c r="H1320" s="1521">
        <v>0</v>
      </c>
      <c r="I1320" s="1521">
        <v>0</v>
      </c>
      <c r="J1320" s="1538">
        <v>0</v>
      </c>
      <c r="K1320" s="1525"/>
      <c r="L1320" s="1519">
        <v>13121006602</v>
      </c>
      <c r="M1320" s="1520">
        <v>0</v>
      </c>
      <c r="N1320" s="1520">
        <v>0</v>
      </c>
      <c r="O1320" s="1521">
        <v>0</v>
      </c>
    </row>
    <row r="1321" spans="3:15" ht="13.5">
      <c r="C1321" s="1526" t="s">
        <v>5279</v>
      </c>
      <c r="D1321" s="1523">
        <v>0</v>
      </c>
      <c r="E1321" s="1523">
        <v>0</v>
      </c>
      <c r="F1321" s="1524">
        <v>0</v>
      </c>
      <c r="G1321" s="1537" t="s">
        <v>5279</v>
      </c>
      <c r="H1321" s="1521">
        <v>0</v>
      </c>
      <c r="I1321" s="1521">
        <v>0</v>
      </c>
      <c r="J1321" s="1538">
        <v>0</v>
      </c>
      <c r="K1321" s="1525"/>
      <c r="L1321" s="1519">
        <v>13121006700</v>
      </c>
      <c r="M1321" s="1520">
        <v>0</v>
      </c>
      <c r="N1321" s="1520">
        <v>0</v>
      </c>
      <c r="O1321" s="1521">
        <v>0</v>
      </c>
    </row>
    <row r="1322" spans="3:15" ht="13.5">
      <c r="C1322" s="1526" t="s">
        <v>5280</v>
      </c>
      <c r="D1322" s="1523" t="s">
        <v>4096</v>
      </c>
      <c r="E1322" s="1523" t="s">
        <v>4096</v>
      </c>
      <c r="F1322" s="1524">
        <v>0</v>
      </c>
      <c r="G1322" s="1537" t="s">
        <v>5280</v>
      </c>
      <c r="H1322" s="1521" t="s">
        <v>4096</v>
      </c>
      <c r="I1322" s="1521" t="s">
        <v>4096</v>
      </c>
      <c r="J1322" s="1538">
        <v>0</v>
      </c>
      <c r="K1322" s="1525"/>
      <c r="L1322" s="1519">
        <v>13121006801</v>
      </c>
      <c r="M1322" s="1520">
        <v>0</v>
      </c>
      <c r="N1322" s="1520">
        <v>0</v>
      </c>
      <c r="O1322" s="1521">
        <v>0</v>
      </c>
    </row>
    <row r="1323" spans="3:15" ht="13.5">
      <c r="C1323" s="1526" t="s">
        <v>5281</v>
      </c>
      <c r="D1323" s="1523">
        <v>0</v>
      </c>
      <c r="E1323" s="1523">
        <v>0</v>
      </c>
      <c r="F1323" s="1524">
        <v>0</v>
      </c>
      <c r="G1323" s="1537" t="s">
        <v>5281</v>
      </c>
      <c r="H1323" s="1521">
        <v>0</v>
      </c>
      <c r="I1323" s="1521">
        <v>0</v>
      </c>
      <c r="J1323" s="1538">
        <v>0</v>
      </c>
      <c r="K1323" s="1525"/>
      <c r="L1323" s="1519">
        <v>13121006802</v>
      </c>
      <c r="M1323" s="1520">
        <v>0</v>
      </c>
      <c r="N1323" s="1520">
        <v>0</v>
      </c>
      <c r="O1323" s="1521">
        <v>0</v>
      </c>
    </row>
    <row r="1324" spans="3:15" ht="13.5">
      <c r="C1324" s="1526" t="s">
        <v>5282</v>
      </c>
      <c r="D1324" s="1523">
        <v>0</v>
      </c>
      <c r="E1324" s="1523">
        <v>0</v>
      </c>
      <c r="F1324" s="1524">
        <v>0</v>
      </c>
      <c r="G1324" s="1537" t="s">
        <v>5282</v>
      </c>
      <c r="H1324" s="1521">
        <v>1</v>
      </c>
      <c r="I1324" s="1521">
        <v>0</v>
      </c>
      <c r="J1324" s="1538">
        <v>1</v>
      </c>
      <c r="K1324" s="1525"/>
      <c r="L1324" s="1519">
        <v>13121006900</v>
      </c>
      <c r="M1324" s="1520">
        <v>1</v>
      </c>
      <c r="N1324" s="1520">
        <v>0</v>
      </c>
      <c r="O1324" s="1521">
        <v>1</v>
      </c>
    </row>
    <row r="1325" spans="3:15" ht="13.5">
      <c r="C1325" s="1526" t="s">
        <v>5283</v>
      </c>
      <c r="D1325" s="1523">
        <v>0</v>
      </c>
      <c r="E1325" s="1523">
        <v>0</v>
      </c>
      <c r="F1325" s="1524">
        <v>0</v>
      </c>
      <c r="G1325" s="1537" t="s">
        <v>5283</v>
      </c>
      <c r="H1325" s="1521">
        <v>0</v>
      </c>
      <c r="I1325" s="1521">
        <v>0</v>
      </c>
      <c r="J1325" s="1538">
        <v>0</v>
      </c>
      <c r="K1325" s="1525"/>
      <c r="L1325" s="1519">
        <v>13121007001</v>
      </c>
      <c r="M1325" s="1520">
        <v>0</v>
      </c>
      <c r="N1325" s="1520">
        <v>0</v>
      </c>
      <c r="O1325" s="1521">
        <v>0</v>
      </c>
    </row>
    <row r="1326" spans="3:15" ht="13.5">
      <c r="C1326" s="1526" t="s">
        <v>5284</v>
      </c>
      <c r="D1326" s="1523">
        <v>0</v>
      </c>
      <c r="E1326" s="1523">
        <v>0</v>
      </c>
      <c r="F1326" s="1524">
        <v>0</v>
      </c>
      <c r="G1326" s="1537" t="s">
        <v>5284</v>
      </c>
      <c r="H1326" s="1521">
        <v>0</v>
      </c>
      <c r="I1326" s="1521">
        <v>0</v>
      </c>
      <c r="J1326" s="1538">
        <v>0</v>
      </c>
      <c r="K1326" s="1525"/>
      <c r="L1326" s="1519">
        <v>13121007002</v>
      </c>
      <c r="M1326" s="1520">
        <v>0</v>
      </c>
      <c r="N1326" s="1520">
        <v>0</v>
      </c>
      <c r="O1326" s="1521">
        <v>0</v>
      </c>
    </row>
    <row r="1327" spans="3:15" ht="13.5">
      <c r="C1327" s="1526" t="s">
        <v>5285</v>
      </c>
      <c r="D1327" s="1523">
        <v>0</v>
      </c>
      <c r="E1327" s="1523">
        <v>0</v>
      </c>
      <c r="F1327" s="1524">
        <v>0</v>
      </c>
      <c r="G1327" s="1537" t="s">
        <v>5285</v>
      </c>
      <c r="H1327" s="1521">
        <v>0</v>
      </c>
      <c r="I1327" s="1521">
        <v>0</v>
      </c>
      <c r="J1327" s="1538">
        <v>0</v>
      </c>
      <c r="K1327" s="1525"/>
      <c r="L1327" s="1519">
        <v>13121007100</v>
      </c>
      <c r="M1327" s="1520">
        <v>0</v>
      </c>
      <c r="N1327" s="1520">
        <v>0</v>
      </c>
      <c r="O1327" s="1521">
        <v>0</v>
      </c>
    </row>
    <row r="1328" spans="3:15" ht="13.5">
      <c r="C1328" s="1526" t="s">
        <v>5286</v>
      </c>
      <c r="D1328" s="1523">
        <v>0</v>
      </c>
      <c r="E1328" s="1523">
        <v>0</v>
      </c>
      <c r="F1328" s="1524">
        <v>0</v>
      </c>
      <c r="G1328" s="1537" t="s">
        <v>5286</v>
      </c>
      <c r="H1328" s="1521">
        <v>0</v>
      </c>
      <c r="I1328" s="1521">
        <v>0</v>
      </c>
      <c r="J1328" s="1538">
        <v>0</v>
      </c>
      <c r="K1328" s="1525"/>
      <c r="L1328" s="1519">
        <v>13121007200</v>
      </c>
      <c r="M1328" s="1520">
        <v>0</v>
      </c>
      <c r="N1328" s="1520">
        <v>0</v>
      </c>
      <c r="O1328" s="1521">
        <v>0</v>
      </c>
    </row>
    <row r="1329" spans="3:15" ht="13.5">
      <c r="C1329" s="1526" t="s">
        <v>5287</v>
      </c>
      <c r="D1329" s="1523">
        <v>0</v>
      </c>
      <c r="E1329" s="1523">
        <v>0</v>
      </c>
      <c r="F1329" s="1524">
        <v>0</v>
      </c>
      <c r="G1329" s="1537" t="s">
        <v>5287</v>
      </c>
      <c r="H1329" s="1521">
        <v>0</v>
      </c>
      <c r="I1329" s="1521">
        <v>0</v>
      </c>
      <c r="J1329" s="1538">
        <v>0</v>
      </c>
      <c r="K1329" s="1525"/>
      <c r="L1329" s="1519">
        <v>13121007300</v>
      </c>
      <c r="M1329" s="1520">
        <v>0</v>
      </c>
      <c r="N1329" s="1520">
        <v>0</v>
      </c>
      <c r="O1329" s="1521">
        <v>0</v>
      </c>
    </row>
    <row r="1330" spans="3:15" ht="13.5">
      <c r="C1330" s="1526" t="s">
        <v>5288</v>
      </c>
      <c r="D1330" s="1523">
        <v>0</v>
      </c>
      <c r="E1330" s="1523">
        <v>0</v>
      </c>
      <c r="F1330" s="1524">
        <v>0</v>
      </c>
      <c r="G1330" s="1537" t="s">
        <v>5288</v>
      </c>
      <c r="H1330" s="1521">
        <v>0</v>
      </c>
      <c r="I1330" s="1521">
        <v>0</v>
      </c>
      <c r="J1330" s="1538">
        <v>0</v>
      </c>
      <c r="K1330" s="1525"/>
      <c r="L1330" s="1519">
        <v>13121007400</v>
      </c>
      <c r="M1330" s="1520">
        <v>0</v>
      </c>
      <c r="N1330" s="1520">
        <v>0</v>
      </c>
      <c r="O1330" s="1521">
        <v>0</v>
      </c>
    </row>
    <row r="1331" spans="3:15" ht="13.5">
      <c r="C1331" s="1526" t="s">
        <v>5289</v>
      </c>
      <c r="D1331" s="1523">
        <v>0</v>
      </c>
      <c r="E1331" s="1523">
        <v>0</v>
      </c>
      <c r="F1331" s="1524">
        <v>0</v>
      </c>
      <c r="G1331" s="1537" t="s">
        <v>5289</v>
      </c>
      <c r="H1331" s="1521">
        <v>0</v>
      </c>
      <c r="I1331" s="1521">
        <v>0</v>
      </c>
      <c r="J1331" s="1538">
        <v>0</v>
      </c>
      <c r="K1331" s="1525"/>
      <c r="L1331" s="1519">
        <v>13121007500</v>
      </c>
      <c r="M1331" s="1520">
        <v>0</v>
      </c>
      <c r="N1331" s="1520">
        <v>0</v>
      </c>
      <c r="O1331" s="1521">
        <v>0</v>
      </c>
    </row>
    <row r="1332" spans="3:15" ht="13.5">
      <c r="C1332" s="1526" t="s">
        <v>5290</v>
      </c>
      <c r="D1332" s="1523">
        <v>0</v>
      </c>
      <c r="E1332" s="1523">
        <v>0</v>
      </c>
      <c r="F1332" s="1524">
        <v>0</v>
      </c>
      <c r="G1332" s="1537" t="s">
        <v>5290</v>
      </c>
      <c r="H1332" s="1521">
        <v>0</v>
      </c>
      <c r="I1332" s="1521">
        <v>0</v>
      </c>
      <c r="J1332" s="1538">
        <v>0</v>
      </c>
      <c r="K1332" s="1525"/>
      <c r="L1332" s="1519">
        <v>13121007602</v>
      </c>
      <c r="M1332" s="1520">
        <v>0</v>
      </c>
      <c r="N1332" s="1520">
        <v>0</v>
      </c>
      <c r="O1332" s="1521">
        <v>0</v>
      </c>
    </row>
    <row r="1333" spans="3:15" ht="13.5">
      <c r="C1333" s="1526" t="s">
        <v>5291</v>
      </c>
      <c r="D1333" s="1523">
        <v>0</v>
      </c>
      <c r="E1333" s="1523">
        <v>0</v>
      </c>
      <c r="F1333" s="1524">
        <v>0</v>
      </c>
      <c r="G1333" s="1537" t="s">
        <v>5291</v>
      </c>
      <c r="H1333" s="1521">
        <v>0</v>
      </c>
      <c r="I1333" s="1521">
        <v>0</v>
      </c>
      <c r="J1333" s="1538">
        <v>0</v>
      </c>
      <c r="K1333" s="1525"/>
      <c r="L1333" s="1519">
        <v>13121007603</v>
      </c>
      <c r="M1333" s="1520">
        <v>0</v>
      </c>
      <c r="N1333" s="1520">
        <v>0</v>
      </c>
      <c r="O1333" s="1521">
        <v>0</v>
      </c>
    </row>
    <row r="1334" spans="3:15" ht="13.5">
      <c r="C1334" s="1526" t="s">
        <v>5292</v>
      </c>
      <c r="D1334" s="1523">
        <v>0</v>
      </c>
      <c r="E1334" s="1523">
        <v>0</v>
      </c>
      <c r="F1334" s="1524">
        <v>0</v>
      </c>
      <c r="G1334" s="1537" t="s">
        <v>5292</v>
      </c>
      <c r="H1334" s="1521">
        <v>0</v>
      </c>
      <c r="I1334" s="1521" t="s">
        <v>4096</v>
      </c>
      <c r="J1334" s="1538">
        <v>0</v>
      </c>
      <c r="K1334" s="1525"/>
      <c r="L1334" s="1519">
        <v>13121007604</v>
      </c>
      <c r="M1334" s="1520">
        <v>0</v>
      </c>
      <c r="N1334" s="1520">
        <v>0</v>
      </c>
      <c r="O1334" s="1521">
        <v>0</v>
      </c>
    </row>
    <row r="1335" spans="3:15" ht="13.5">
      <c r="C1335" s="1526" t="s">
        <v>5293</v>
      </c>
      <c r="D1335" s="1523">
        <v>0</v>
      </c>
      <c r="E1335" s="1523">
        <v>0</v>
      </c>
      <c r="F1335" s="1524">
        <v>0</v>
      </c>
      <c r="G1335" s="1537" t="s">
        <v>5293</v>
      </c>
      <c r="H1335" s="1521">
        <v>0</v>
      </c>
      <c r="I1335" s="1521">
        <v>0</v>
      </c>
      <c r="J1335" s="1538">
        <v>0</v>
      </c>
      <c r="K1335" s="1525"/>
      <c r="L1335" s="1519">
        <v>13121007703</v>
      </c>
      <c r="M1335" s="1520">
        <v>0</v>
      </c>
      <c r="N1335" s="1520">
        <v>0</v>
      </c>
      <c r="O1335" s="1521">
        <v>0</v>
      </c>
    </row>
    <row r="1336" spans="3:15" ht="13.5">
      <c r="C1336" s="1526" t="s">
        <v>5294</v>
      </c>
      <c r="D1336" s="1523">
        <v>0</v>
      </c>
      <c r="E1336" s="1523">
        <v>0</v>
      </c>
      <c r="F1336" s="1524">
        <v>0</v>
      </c>
      <c r="G1336" s="1537" t="s">
        <v>5294</v>
      </c>
      <c r="H1336" s="1521">
        <v>0</v>
      </c>
      <c r="I1336" s="1521">
        <v>0</v>
      </c>
      <c r="J1336" s="1538">
        <v>0</v>
      </c>
      <c r="K1336" s="1525"/>
      <c r="L1336" s="1519">
        <v>13121007704</v>
      </c>
      <c r="M1336" s="1520">
        <v>0</v>
      </c>
      <c r="N1336" s="1520">
        <v>0</v>
      </c>
      <c r="O1336" s="1521">
        <v>0</v>
      </c>
    </row>
    <row r="1337" spans="3:15" ht="13.5">
      <c r="C1337" s="1526" t="s">
        <v>5295</v>
      </c>
      <c r="D1337" s="1523">
        <v>0</v>
      </c>
      <c r="E1337" s="1523">
        <v>0</v>
      </c>
      <c r="F1337" s="1524">
        <v>0</v>
      </c>
      <c r="G1337" s="1537" t="s">
        <v>5295</v>
      </c>
      <c r="H1337" s="1521">
        <v>0</v>
      </c>
      <c r="I1337" s="1521">
        <v>0</v>
      </c>
      <c r="J1337" s="1538">
        <v>0</v>
      </c>
      <c r="K1337" s="1525"/>
      <c r="L1337" s="1519">
        <v>13121007705</v>
      </c>
      <c r="M1337" s="1520">
        <v>0</v>
      </c>
      <c r="N1337" s="1520">
        <v>0</v>
      </c>
      <c r="O1337" s="1521">
        <v>0</v>
      </c>
    </row>
    <row r="1338" spans="3:15" ht="13.5">
      <c r="C1338" s="1526" t="s">
        <v>5296</v>
      </c>
      <c r="D1338" s="1523">
        <v>0</v>
      </c>
      <c r="E1338" s="1523">
        <v>0</v>
      </c>
      <c r="F1338" s="1524">
        <v>0</v>
      </c>
      <c r="G1338" s="1537" t="s">
        <v>5296</v>
      </c>
      <c r="H1338" s="1521">
        <v>0</v>
      </c>
      <c r="I1338" s="1521">
        <v>1</v>
      </c>
      <c r="J1338" s="1538">
        <v>1</v>
      </c>
      <c r="K1338" s="1525"/>
      <c r="L1338" s="1519">
        <v>13121007706</v>
      </c>
      <c r="M1338" s="1520">
        <v>0</v>
      </c>
      <c r="N1338" s="1520">
        <v>1</v>
      </c>
      <c r="O1338" s="1521">
        <v>1</v>
      </c>
    </row>
    <row r="1339" spans="3:15" ht="13.5">
      <c r="C1339" s="1526" t="s">
        <v>5297</v>
      </c>
      <c r="D1339" s="1523">
        <v>0</v>
      </c>
      <c r="E1339" s="1523">
        <v>0</v>
      </c>
      <c r="F1339" s="1524">
        <v>0</v>
      </c>
      <c r="G1339" s="1537" t="s">
        <v>5297</v>
      </c>
      <c r="H1339" s="1521">
        <v>0</v>
      </c>
      <c r="I1339" s="1521">
        <v>0</v>
      </c>
      <c r="J1339" s="1538">
        <v>0</v>
      </c>
      <c r="K1339" s="1525"/>
      <c r="L1339" s="1519">
        <v>13121007802</v>
      </c>
      <c r="M1339" s="1520">
        <v>0</v>
      </c>
      <c r="N1339" s="1520">
        <v>0</v>
      </c>
      <c r="O1339" s="1521">
        <v>0</v>
      </c>
    </row>
    <row r="1340" spans="3:15" ht="13.5">
      <c r="C1340" s="1526" t="s">
        <v>5298</v>
      </c>
      <c r="D1340" s="1523">
        <v>0</v>
      </c>
      <c r="E1340" s="1523">
        <v>0</v>
      </c>
      <c r="F1340" s="1524">
        <v>0</v>
      </c>
      <c r="G1340" s="1537" t="s">
        <v>5298</v>
      </c>
      <c r="H1340" s="1521">
        <v>0</v>
      </c>
      <c r="I1340" s="1521">
        <v>0</v>
      </c>
      <c r="J1340" s="1538">
        <v>0</v>
      </c>
      <c r="K1340" s="1525"/>
      <c r="L1340" s="1519">
        <v>13121007805</v>
      </c>
      <c r="M1340" s="1520">
        <v>0</v>
      </c>
      <c r="N1340" s="1520">
        <v>0</v>
      </c>
      <c r="O1340" s="1521">
        <v>0</v>
      </c>
    </row>
    <row r="1341" spans="3:15" ht="13.5">
      <c r="C1341" s="1526" t="s">
        <v>5299</v>
      </c>
      <c r="D1341" s="1523">
        <v>0</v>
      </c>
      <c r="E1341" s="1523">
        <v>0</v>
      </c>
      <c r="F1341" s="1524">
        <v>0</v>
      </c>
      <c r="G1341" s="1537" t="s">
        <v>5299</v>
      </c>
      <c r="H1341" s="1521">
        <v>0</v>
      </c>
      <c r="I1341" s="1521">
        <v>1</v>
      </c>
      <c r="J1341" s="1538">
        <v>1</v>
      </c>
      <c r="K1341" s="1525"/>
      <c r="L1341" s="1519">
        <v>13121007806</v>
      </c>
      <c r="M1341" s="1520">
        <v>0</v>
      </c>
      <c r="N1341" s="1520">
        <v>1</v>
      </c>
      <c r="O1341" s="1521">
        <v>1</v>
      </c>
    </row>
    <row r="1342" spans="3:15" ht="13.5">
      <c r="C1342" s="1526" t="s">
        <v>5300</v>
      </c>
      <c r="D1342" s="1523">
        <v>0</v>
      </c>
      <c r="E1342" s="1523">
        <v>0</v>
      </c>
      <c r="F1342" s="1524">
        <v>0</v>
      </c>
      <c r="G1342" s="1537" t="s">
        <v>5300</v>
      </c>
      <c r="H1342" s="1521">
        <v>0</v>
      </c>
      <c r="I1342" s="1521">
        <v>0</v>
      </c>
      <c r="J1342" s="1538">
        <v>0</v>
      </c>
      <c r="K1342" s="1525"/>
      <c r="L1342" s="1519">
        <v>13121007807</v>
      </c>
      <c r="M1342" s="1520">
        <v>0</v>
      </c>
      <c r="N1342" s="1520">
        <v>0</v>
      </c>
      <c r="O1342" s="1521">
        <v>0</v>
      </c>
    </row>
    <row r="1343" spans="3:15" ht="13.5">
      <c r="C1343" s="1526" t="s">
        <v>5301</v>
      </c>
      <c r="D1343" s="1523">
        <v>0</v>
      </c>
      <c r="E1343" s="1523">
        <v>0</v>
      </c>
      <c r="F1343" s="1524">
        <v>0</v>
      </c>
      <c r="G1343" s="1537" t="s">
        <v>5301</v>
      </c>
      <c r="H1343" s="1521">
        <v>0</v>
      </c>
      <c r="I1343" s="1521">
        <v>0</v>
      </c>
      <c r="J1343" s="1538">
        <v>0</v>
      </c>
      <c r="K1343" s="1525"/>
      <c r="L1343" s="1519">
        <v>13121007808</v>
      </c>
      <c r="M1343" s="1520">
        <v>0</v>
      </c>
      <c r="N1343" s="1520">
        <v>0</v>
      </c>
      <c r="O1343" s="1521">
        <v>0</v>
      </c>
    </row>
    <row r="1344" spans="3:15" ht="13.5">
      <c r="C1344" s="1526" t="s">
        <v>5302</v>
      </c>
      <c r="D1344" s="1523">
        <v>0</v>
      </c>
      <c r="E1344" s="1523">
        <v>0</v>
      </c>
      <c r="F1344" s="1524">
        <v>0</v>
      </c>
      <c r="G1344" s="1537" t="s">
        <v>5302</v>
      </c>
      <c r="H1344" s="1521">
        <v>1</v>
      </c>
      <c r="I1344" s="1521">
        <v>1</v>
      </c>
      <c r="J1344" s="1538">
        <v>2</v>
      </c>
      <c r="K1344" s="1525"/>
      <c r="L1344" s="1519">
        <v>13121007900</v>
      </c>
      <c r="M1344" s="1520">
        <v>1</v>
      </c>
      <c r="N1344" s="1520">
        <v>1</v>
      </c>
      <c r="O1344" s="1521">
        <v>2</v>
      </c>
    </row>
    <row r="1345" spans="3:15" ht="13.5">
      <c r="C1345" s="1526" t="s">
        <v>5303</v>
      </c>
      <c r="D1345" s="1523">
        <v>0</v>
      </c>
      <c r="E1345" s="1523">
        <v>0</v>
      </c>
      <c r="F1345" s="1524">
        <v>0</v>
      </c>
      <c r="G1345" s="1537" t="s">
        <v>5303</v>
      </c>
      <c r="H1345" s="1521">
        <v>0</v>
      </c>
      <c r="I1345" s="1521">
        <v>0</v>
      </c>
      <c r="J1345" s="1538">
        <v>0</v>
      </c>
      <c r="K1345" s="1525"/>
      <c r="L1345" s="1519">
        <v>13121008000</v>
      </c>
      <c r="M1345" s="1520">
        <v>0</v>
      </c>
      <c r="N1345" s="1520">
        <v>0</v>
      </c>
      <c r="O1345" s="1521">
        <v>0</v>
      </c>
    </row>
    <row r="1346" spans="3:15" ht="13.5">
      <c r="C1346" s="1526" t="s">
        <v>5304</v>
      </c>
      <c r="D1346" s="1523">
        <v>0</v>
      </c>
      <c r="E1346" s="1523">
        <v>0</v>
      </c>
      <c r="F1346" s="1524">
        <v>0</v>
      </c>
      <c r="G1346" s="1537" t="s">
        <v>5304</v>
      </c>
      <c r="H1346" s="1521">
        <v>0</v>
      </c>
      <c r="I1346" s="1521">
        <v>0</v>
      </c>
      <c r="J1346" s="1538">
        <v>0</v>
      </c>
      <c r="K1346" s="1525"/>
      <c r="L1346" s="1519">
        <v>13121008101</v>
      </c>
      <c r="M1346" s="1520">
        <v>0</v>
      </c>
      <c r="N1346" s="1520">
        <v>0</v>
      </c>
      <c r="O1346" s="1521">
        <v>0</v>
      </c>
    </row>
    <row r="1347" spans="3:15" ht="13.5">
      <c r="C1347" s="1526" t="s">
        <v>5305</v>
      </c>
      <c r="D1347" s="1523">
        <v>0</v>
      </c>
      <c r="E1347" s="1523">
        <v>0</v>
      </c>
      <c r="F1347" s="1524">
        <v>0</v>
      </c>
      <c r="G1347" s="1537" t="s">
        <v>5305</v>
      </c>
      <c r="H1347" s="1521">
        <v>0</v>
      </c>
      <c r="I1347" s="1521">
        <v>0</v>
      </c>
      <c r="J1347" s="1538">
        <v>0</v>
      </c>
      <c r="K1347" s="1525"/>
      <c r="L1347" s="1519">
        <v>13121008102</v>
      </c>
      <c r="M1347" s="1520">
        <v>0</v>
      </c>
      <c r="N1347" s="1520">
        <v>0</v>
      </c>
      <c r="O1347" s="1521">
        <v>0</v>
      </c>
    </row>
    <row r="1348" spans="3:15" ht="13.5">
      <c r="C1348" s="1526" t="s">
        <v>5306</v>
      </c>
      <c r="D1348" s="1523">
        <v>0</v>
      </c>
      <c r="E1348" s="1523">
        <v>0</v>
      </c>
      <c r="F1348" s="1524">
        <v>0</v>
      </c>
      <c r="G1348" s="1537" t="s">
        <v>5306</v>
      </c>
      <c r="H1348" s="1521">
        <v>0</v>
      </c>
      <c r="I1348" s="1521">
        <v>0</v>
      </c>
      <c r="J1348" s="1538">
        <v>0</v>
      </c>
      <c r="K1348" s="1525"/>
      <c r="L1348" s="1519">
        <v>13121008201</v>
      </c>
      <c r="M1348" s="1520">
        <v>0</v>
      </c>
      <c r="N1348" s="1520">
        <v>0</v>
      </c>
      <c r="O1348" s="1521">
        <v>0</v>
      </c>
    </row>
    <row r="1349" spans="3:15" ht="13.5">
      <c r="C1349" s="1526" t="s">
        <v>5307</v>
      </c>
      <c r="D1349" s="1523">
        <v>0</v>
      </c>
      <c r="E1349" s="1523">
        <v>0</v>
      </c>
      <c r="F1349" s="1524">
        <v>0</v>
      </c>
      <c r="G1349" s="1537" t="s">
        <v>5307</v>
      </c>
      <c r="H1349" s="1521">
        <v>0</v>
      </c>
      <c r="I1349" s="1521">
        <v>0</v>
      </c>
      <c r="J1349" s="1538">
        <v>0</v>
      </c>
      <c r="K1349" s="1525"/>
      <c r="L1349" s="1519">
        <v>13121008202</v>
      </c>
      <c r="M1349" s="1520">
        <v>0</v>
      </c>
      <c r="N1349" s="1520">
        <v>0</v>
      </c>
      <c r="O1349" s="1521">
        <v>0</v>
      </c>
    </row>
    <row r="1350" spans="3:15" ht="13.5">
      <c r="C1350" s="1526" t="s">
        <v>5308</v>
      </c>
      <c r="D1350" s="1523">
        <v>0</v>
      </c>
      <c r="E1350" s="1523">
        <v>0</v>
      </c>
      <c r="F1350" s="1524">
        <v>0</v>
      </c>
      <c r="G1350" s="1537" t="s">
        <v>5308</v>
      </c>
      <c r="H1350" s="1521">
        <v>0</v>
      </c>
      <c r="I1350" s="1521" t="s">
        <v>4096</v>
      </c>
      <c r="J1350" s="1538">
        <v>0</v>
      </c>
      <c r="K1350" s="1525"/>
      <c r="L1350" s="1519">
        <v>13121008301</v>
      </c>
      <c r="M1350" s="1520">
        <v>0</v>
      </c>
      <c r="N1350" s="1520">
        <v>0</v>
      </c>
      <c r="O1350" s="1521">
        <v>0</v>
      </c>
    </row>
    <row r="1351" spans="3:15" ht="13.5">
      <c r="C1351" s="1526" t="s">
        <v>5309</v>
      </c>
      <c r="D1351" s="1523">
        <v>0</v>
      </c>
      <c r="E1351" s="1523">
        <v>0</v>
      </c>
      <c r="F1351" s="1524">
        <v>0</v>
      </c>
      <c r="G1351" s="1537" t="s">
        <v>5309</v>
      </c>
      <c r="H1351" s="1521">
        <v>0</v>
      </c>
      <c r="I1351" s="1521" t="s">
        <v>4096</v>
      </c>
      <c r="J1351" s="1538">
        <v>0</v>
      </c>
      <c r="K1351" s="1525"/>
      <c r="L1351" s="1519">
        <v>13121008302</v>
      </c>
      <c r="M1351" s="1520">
        <v>0</v>
      </c>
      <c r="N1351" s="1520">
        <v>0</v>
      </c>
      <c r="O1351" s="1521">
        <v>0</v>
      </c>
    </row>
    <row r="1352" spans="3:15" ht="13.5">
      <c r="C1352" s="1526" t="s">
        <v>5310</v>
      </c>
      <c r="D1352" s="1523">
        <v>0</v>
      </c>
      <c r="E1352" s="1523">
        <v>0</v>
      </c>
      <c r="F1352" s="1524">
        <v>0</v>
      </c>
      <c r="G1352" s="1537" t="s">
        <v>5310</v>
      </c>
      <c r="H1352" s="1521">
        <v>0</v>
      </c>
      <c r="I1352" s="1521">
        <v>0</v>
      </c>
      <c r="J1352" s="1538">
        <v>0</v>
      </c>
      <c r="K1352" s="1525"/>
      <c r="L1352" s="1519">
        <v>13121008400</v>
      </c>
      <c r="M1352" s="1520">
        <v>0</v>
      </c>
      <c r="N1352" s="1520">
        <v>0</v>
      </c>
      <c r="O1352" s="1521">
        <v>0</v>
      </c>
    </row>
    <row r="1353" spans="3:15" ht="13.5">
      <c r="C1353" s="1526" t="s">
        <v>5311</v>
      </c>
      <c r="D1353" s="1523">
        <v>0</v>
      </c>
      <c r="E1353" s="1523">
        <v>0</v>
      </c>
      <c r="F1353" s="1524">
        <v>0</v>
      </c>
      <c r="G1353" s="1537" t="s">
        <v>5311</v>
      </c>
      <c r="H1353" s="1521">
        <v>0</v>
      </c>
      <c r="I1353" s="1521">
        <v>0</v>
      </c>
      <c r="J1353" s="1538">
        <v>0</v>
      </c>
      <c r="K1353" s="1525"/>
      <c r="L1353" s="1519">
        <v>13121008500</v>
      </c>
      <c r="M1353" s="1520">
        <v>0</v>
      </c>
      <c r="N1353" s="1520">
        <v>0</v>
      </c>
      <c r="O1353" s="1521">
        <v>0</v>
      </c>
    </row>
    <row r="1354" spans="3:15" ht="13.5">
      <c r="C1354" s="1526" t="s">
        <v>5312</v>
      </c>
      <c r="D1354" s="1523">
        <v>0</v>
      </c>
      <c r="E1354" s="1523">
        <v>0</v>
      </c>
      <c r="F1354" s="1524">
        <v>0</v>
      </c>
      <c r="G1354" s="1537" t="s">
        <v>5312</v>
      </c>
      <c r="H1354" s="1521">
        <v>0</v>
      </c>
      <c r="I1354" s="1521">
        <v>0</v>
      </c>
      <c r="J1354" s="1538">
        <v>0</v>
      </c>
      <c r="K1354" s="1525"/>
      <c r="L1354" s="1519">
        <v>13121008601</v>
      </c>
      <c r="M1354" s="1520">
        <v>0</v>
      </c>
      <c r="N1354" s="1520">
        <v>0</v>
      </c>
      <c r="O1354" s="1521">
        <v>0</v>
      </c>
    </row>
    <row r="1355" spans="3:15" ht="13.5">
      <c r="C1355" s="1526" t="s">
        <v>5313</v>
      </c>
      <c r="D1355" s="1523">
        <v>0</v>
      </c>
      <c r="E1355" s="1523">
        <v>0</v>
      </c>
      <c r="F1355" s="1524">
        <v>0</v>
      </c>
      <c r="G1355" s="1537" t="s">
        <v>5313</v>
      </c>
      <c r="H1355" s="1521">
        <v>0</v>
      </c>
      <c r="I1355" s="1521" t="s">
        <v>4096</v>
      </c>
      <c r="J1355" s="1538">
        <v>0</v>
      </c>
      <c r="K1355" s="1525"/>
      <c r="L1355" s="1519">
        <v>13121008602</v>
      </c>
      <c r="M1355" s="1520">
        <v>0</v>
      </c>
      <c r="N1355" s="1520">
        <v>0</v>
      </c>
      <c r="O1355" s="1521">
        <v>0</v>
      </c>
    </row>
    <row r="1356" spans="3:15" ht="13.5">
      <c r="C1356" s="1526" t="s">
        <v>5314</v>
      </c>
      <c r="D1356" s="1523">
        <v>0</v>
      </c>
      <c r="E1356" s="1523">
        <v>0</v>
      </c>
      <c r="F1356" s="1524">
        <v>0</v>
      </c>
      <c r="G1356" s="1537" t="s">
        <v>5314</v>
      </c>
      <c r="H1356" s="1521">
        <v>0</v>
      </c>
      <c r="I1356" s="1521">
        <v>0</v>
      </c>
      <c r="J1356" s="1538">
        <v>0</v>
      </c>
      <c r="K1356" s="1525"/>
      <c r="L1356" s="1519">
        <v>13121008700</v>
      </c>
      <c r="M1356" s="1520">
        <v>0</v>
      </c>
      <c r="N1356" s="1520">
        <v>0</v>
      </c>
      <c r="O1356" s="1521">
        <v>0</v>
      </c>
    </row>
    <row r="1357" spans="3:15" ht="13.5">
      <c r="C1357" s="1526" t="s">
        <v>5315</v>
      </c>
      <c r="D1357" s="1523">
        <v>1</v>
      </c>
      <c r="E1357" s="1523">
        <v>1</v>
      </c>
      <c r="F1357" s="1524">
        <v>2</v>
      </c>
      <c r="G1357" s="1537" t="s">
        <v>5315</v>
      </c>
      <c r="H1357" s="1521">
        <v>1</v>
      </c>
      <c r="I1357" s="1521" t="s">
        <v>4096</v>
      </c>
      <c r="J1357" s="1538">
        <v>1</v>
      </c>
      <c r="K1357" s="1525"/>
      <c r="L1357" s="1519">
        <v>13121008800</v>
      </c>
      <c r="M1357" s="1520">
        <v>1</v>
      </c>
      <c r="N1357" s="1520">
        <v>1</v>
      </c>
      <c r="O1357" s="1521">
        <v>2</v>
      </c>
    </row>
    <row r="1358" spans="3:15" ht="13.5">
      <c r="C1358" s="1526" t="s">
        <v>5316</v>
      </c>
      <c r="D1358" s="1523">
        <v>1</v>
      </c>
      <c r="E1358" s="1523">
        <v>1</v>
      </c>
      <c r="F1358" s="1524">
        <v>2</v>
      </c>
      <c r="G1358" s="1537" t="s">
        <v>5316</v>
      </c>
      <c r="H1358" s="1521">
        <v>1</v>
      </c>
      <c r="I1358" s="1521">
        <v>1</v>
      </c>
      <c r="J1358" s="1538">
        <v>2</v>
      </c>
      <c r="K1358" s="1525"/>
      <c r="L1358" s="1519">
        <v>13121008902</v>
      </c>
      <c r="M1358" s="1520">
        <v>1</v>
      </c>
      <c r="N1358" s="1520">
        <v>1</v>
      </c>
      <c r="O1358" s="1521">
        <v>2</v>
      </c>
    </row>
    <row r="1359" spans="3:15" ht="13.5">
      <c r="C1359" s="1526" t="s">
        <v>5317</v>
      </c>
      <c r="D1359" s="1523">
        <v>1</v>
      </c>
      <c r="E1359" s="1523">
        <v>0</v>
      </c>
      <c r="F1359" s="1524">
        <v>1</v>
      </c>
      <c r="G1359" s="1537" t="s">
        <v>5317</v>
      </c>
      <c r="H1359" s="1521">
        <v>1</v>
      </c>
      <c r="I1359" s="1521" t="s">
        <v>4096</v>
      </c>
      <c r="J1359" s="1538">
        <v>1</v>
      </c>
      <c r="K1359" s="1525"/>
      <c r="L1359" s="1519">
        <v>13121008903</v>
      </c>
      <c r="M1359" s="1520">
        <v>1</v>
      </c>
      <c r="N1359" s="1520">
        <v>0</v>
      </c>
      <c r="O1359" s="1521">
        <v>1</v>
      </c>
    </row>
    <row r="1360" spans="3:15" ht="13.5">
      <c r="C1360" s="1526" t="s">
        <v>5318</v>
      </c>
      <c r="D1360" s="1523">
        <v>1</v>
      </c>
      <c r="E1360" s="1523">
        <v>1</v>
      </c>
      <c r="F1360" s="1524">
        <v>2</v>
      </c>
      <c r="G1360" s="1537" t="s">
        <v>5318</v>
      </c>
      <c r="H1360" s="1521">
        <v>1</v>
      </c>
      <c r="I1360" s="1521">
        <v>1</v>
      </c>
      <c r="J1360" s="1538">
        <v>2</v>
      </c>
      <c r="K1360" s="1525"/>
      <c r="L1360" s="1519">
        <v>13121008904</v>
      </c>
      <c r="M1360" s="1520">
        <v>1</v>
      </c>
      <c r="N1360" s="1520">
        <v>1</v>
      </c>
      <c r="O1360" s="1521">
        <v>2</v>
      </c>
    </row>
    <row r="1361" spans="3:15" ht="13.5">
      <c r="C1361" s="1526" t="s">
        <v>5319</v>
      </c>
      <c r="D1361" s="1523">
        <v>1</v>
      </c>
      <c r="E1361" s="1523">
        <v>1</v>
      </c>
      <c r="F1361" s="1524">
        <v>2</v>
      </c>
      <c r="G1361" s="1537" t="s">
        <v>5319</v>
      </c>
      <c r="H1361" s="1521">
        <v>1</v>
      </c>
      <c r="I1361" s="1521">
        <v>1</v>
      </c>
      <c r="J1361" s="1538">
        <v>2</v>
      </c>
      <c r="K1361" s="1525"/>
      <c r="L1361" s="1519">
        <v>13121009000</v>
      </c>
      <c r="M1361" s="1520">
        <v>1</v>
      </c>
      <c r="N1361" s="1520">
        <v>1</v>
      </c>
      <c r="O1361" s="1521">
        <v>2</v>
      </c>
    </row>
    <row r="1362" spans="3:15" ht="13.5">
      <c r="C1362" s="1526" t="s">
        <v>5320</v>
      </c>
      <c r="D1362" s="1523">
        <v>1</v>
      </c>
      <c r="E1362" s="1523">
        <v>1</v>
      </c>
      <c r="F1362" s="1524">
        <v>2</v>
      </c>
      <c r="G1362" s="1537" t="s">
        <v>5320</v>
      </c>
      <c r="H1362" s="1521">
        <v>1</v>
      </c>
      <c r="I1362" s="1521">
        <v>1</v>
      </c>
      <c r="J1362" s="1538">
        <v>2</v>
      </c>
      <c r="K1362" s="1525"/>
      <c r="L1362" s="1519">
        <v>13121009101</v>
      </c>
      <c r="M1362" s="1520">
        <v>1</v>
      </c>
      <c r="N1362" s="1520">
        <v>1</v>
      </c>
      <c r="O1362" s="1521">
        <v>2</v>
      </c>
    </row>
    <row r="1363" spans="3:15" ht="13.5">
      <c r="C1363" s="1526" t="s">
        <v>5321</v>
      </c>
      <c r="D1363" s="1523">
        <v>1</v>
      </c>
      <c r="E1363" s="1523">
        <v>1</v>
      </c>
      <c r="F1363" s="1524">
        <v>2</v>
      </c>
      <c r="G1363" s="1537" t="s">
        <v>5321</v>
      </c>
      <c r="H1363" s="1521">
        <v>1</v>
      </c>
      <c r="I1363" s="1521">
        <v>1</v>
      </c>
      <c r="J1363" s="1538">
        <v>2</v>
      </c>
      <c r="K1363" s="1525"/>
      <c r="L1363" s="1519">
        <v>13121009102</v>
      </c>
      <c r="M1363" s="1520">
        <v>1</v>
      </c>
      <c r="N1363" s="1520">
        <v>1</v>
      </c>
      <c r="O1363" s="1521">
        <v>2</v>
      </c>
    </row>
    <row r="1364" spans="3:15" ht="13.5">
      <c r="C1364" s="1526" t="s">
        <v>5322</v>
      </c>
      <c r="D1364" s="1523">
        <v>1</v>
      </c>
      <c r="E1364" s="1523">
        <v>0</v>
      </c>
      <c r="F1364" s="1524">
        <v>1</v>
      </c>
      <c r="G1364" s="1537" t="s">
        <v>5322</v>
      </c>
      <c r="H1364" s="1521">
        <v>1</v>
      </c>
      <c r="I1364" s="1521">
        <v>1</v>
      </c>
      <c r="J1364" s="1538">
        <v>2</v>
      </c>
      <c r="K1364" s="1525"/>
      <c r="L1364" s="1519">
        <v>13121009200</v>
      </c>
      <c r="M1364" s="1520">
        <v>1</v>
      </c>
      <c r="N1364" s="1520">
        <v>1</v>
      </c>
      <c r="O1364" s="1521">
        <v>2</v>
      </c>
    </row>
    <row r="1365" spans="3:15" ht="13.5">
      <c r="C1365" s="1526" t="s">
        <v>5323</v>
      </c>
      <c r="D1365" s="1523">
        <v>1</v>
      </c>
      <c r="E1365" s="1523">
        <v>1</v>
      </c>
      <c r="F1365" s="1524">
        <v>2</v>
      </c>
      <c r="G1365" s="1537" t="s">
        <v>5323</v>
      </c>
      <c r="H1365" s="1521">
        <v>1</v>
      </c>
      <c r="I1365" s="1521">
        <v>1</v>
      </c>
      <c r="J1365" s="1538">
        <v>2</v>
      </c>
      <c r="K1365" s="1525"/>
      <c r="L1365" s="1519">
        <v>13121009300</v>
      </c>
      <c r="M1365" s="1520">
        <v>1</v>
      </c>
      <c r="N1365" s="1520">
        <v>1</v>
      </c>
      <c r="O1365" s="1521">
        <v>2</v>
      </c>
    </row>
    <row r="1366" spans="3:15" ht="13.5">
      <c r="C1366" s="1526" t="s">
        <v>5324</v>
      </c>
      <c r="D1366" s="1523">
        <v>1</v>
      </c>
      <c r="E1366" s="1523">
        <v>1</v>
      </c>
      <c r="F1366" s="1524">
        <v>2</v>
      </c>
      <c r="G1366" s="1537" t="s">
        <v>5324</v>
      </c>
      <c r="H1366" s="1521">
        <v>1</v>
      </c>
      <c r="I1366" s="1521" t="s">
        <v>4096</v>
      </c>
      <c r="J1366" s="1538">
        <v>1</v>
      </c>
      <c r="K1366" s="1525"/>
      <c r="L1366" s="1519">
        <v>13121009402</v>
      </c>
      <c r="M1366" s="1520">
        <v>1</v>
      </c>
      <c r="N1366" s="1520">
        <v>1</v>
      </c>
      <c r="O1366" s="1521">
        <v>2</v>
      </c>
    </row>
    <row r="1367" spans="3:15" ht="13.5">
      <c r="C1367" s="1526" t="s">
        <v>5325</v>
      </c>
      <c r="D1367" s="1523">
        <v>1</v>
      </c>
      <c r="E1367" s="1523">
        <v>1</v>
      </c>
      <c r="F1367" s="1524">
        <v>2</v>
      </c>
      <c r="G1367" s="1537" t="s">
        <v>5325</v>
      </c>
      <c r="H1367" s="1521">
        <v>1</v>
      </c>
      <c r="I1367" s="1521">
        <v>1</v>
      </c>
      <c r="J1367" s="1538">
        <v>2</v>
      </c>
      <c r="K1367" s="1525"/>
      <c r="L1367" s="1519">
        <v>13121009403</v>
      </c>
      <c r="M1367" s="1520">
        <v>1</v>
      </c>
      <c r="N1367" s="1520">
        <v>1</v>
      </c>
      <c r="O1367" s="1521">
        <v>2</v>
      </c>
    </row>
    <row r="1368" spans="3:15" ht="13.5">
      <c r="C1368" s="1526" t="s">
        <v>5326</v>
      </c>
      <c r="D1368" s="1523">
        <v>1</v>
      </c>
      <c r="E1368" s="1523">
        <v>1</v>
      </c>
      <c r="F1368" s="1524">
        <v>2</v>
      </c>
      <c r="G1368" s="1537" t="s">
        <v>5326</v>
      </c>
      <c r="H1368" s="1521">
        <v>1</v>
      </c>
      <c r="I1368" s="1521">
        <v>1</v>
      </c>
      <c r="J1368" s="1538">
        <v>2</v>
      </c>
      <c r="K1368" s="1525"/>
      <c r="L1368" s="1519">
        <v>13121009404</v>
      </c>
      <c r="M1368" s="1520">
        <v>1</v>
      </c>
      <c r="N1368" s="1520">
        <v>1</v>
      </c>
      <c r="O1368" s="1521">
        <v>2</v>
      </c>
    </row>
    <row r="1369" spans="3:15" ht="13.5">
      <c r="C1369" s="1526" t="s">
        <v>5327</v>
      </c>
      <c r="D1369" s="1523">
        <v>1</v>
      </c>
      <c r="E1369" s="1523">
        <v>1</v>
      </c>
      <c r="F1369" s="1524">
        <v>2</v>
      </c>
      <c r="G1369" s="1537" t="s">
        <v>5327</v>
      </c>
      <c r="H1369" s="1521">
        <v>1</v>
      </c>
      <c r="I1369" s="1521">
        <v>1</v>
      </c>
      <c r="J1369" s="1538">
        <v>2</v>
      </c>
      <c r="K1369" s="1525"/>
      <c r="L1369" s="1519">
        <v>13121009501</v>
      </c>
      <c r="M1369" s="1520">
        <v>1</v>
      </c>
      <c r="N1369" s="1520">
        <v>1</v>
      </c>
      <c r="O1369" s="1521">
        <v>2</v>
      </c>
    </row>
    <row r="1370" spans="3:15" ht="13.5">
      <c r="C1370" s="1526" t="s">
        <v>5328</v>
      </c>
      <c r="D1370" s="1523">
        <v>1</v>
      </c>
      <c r="E1370" s="1523">
        <v>0</v>
      </c>
      <c r="F1370" s="1524">
        <v>1</v>
      </c>
      <c r="G1370" s="1537" t="s">
        <v>5328</v>
      </c>
      <c r="H1370" s="1521">
        <v>1</v>
      </c>
      <c r="I1370" s="1521" t="s">
        <v>4096</v>
      </c>
      <c r="J1370" s="1538">
        <v>1</v>
      </c>
      <c r="K1370" s="1525"/>
      <c r="L1370" s="1519">
        <v>13121009502</v>
      </c>
      <c r="M1370" s="1520">
        <v>1</v>
      </c>
      <c r="N1370" s="1520">
        <v>0</v>
      </c>
      <c r="O1370" s="1521">
        <v>1</v>
      </c>
    </row>
    <row r="1371" spans="3:15" ht="13.5">
      <c r="C1371" s="1526" t="s">
        <v>5329</v>
      </c>
      <c r="D1371" s="1523">
        <v>1</v>
      </c>
      <c r="E1371" s="1523">
        <v>1</v>
      </c>
      <c r="F1371" s="1524">
        <v>2</v>
      </c>
      <c r="G1371" s="1537" t="s">
        <v>5329</v>
      </c>
      <c r="H1371" s="1521">
        <v>1</v>
      </c>
      <c r="I1371" s="1521">
        <v>1</v>
      </c>
      <c r="J1371" s="1538">
        <v>2</v>
      </c>
      <c r="K1371" s="1525"/>
      <c r="L1371" s="1519">
        <v>13121009601</v>
      </c>
      <c r="M1371" s="1520">
        <v>1</v>
      </c>
      <c r="N1371" s="1520">
        <v>1</v>
      </c>
      <c r="O1371" s="1521">
        <v>2</v>
      </c>
    </row>
    <row r="1372" spans="3:15" ht="13.5">
      <c r="C1372" s="1526" t="s">
        <v>5330</v>
      </c>
      <c r="D1372" s="1523">
        <v>1</v>
      </c>
      <c r="E1372" s="1523">
        <v>1</v>
      </c>
      <c r="F1372" s="1524">
        <v>2</v>
      </c>
      <c r="G1372" s="1537" t="s">
        <v>5330</v>
      </c>
      <c r="H1372" s="1521">
        <v>1</v>
      </c>
      <c r="I1372" s="1521">
        <v>1</v>
      </c>
      <c r="J1372" s="1538">
        <v>2</v>
      </c>
      <c r="K1372" s="1525"/>
      <c r="L1372" s="1519">
        <v>13121009602</v>
      </c>
      <c r="M1372" s="1520">
        <v>1</v>
      </c>
      <c r="N1372" s="1520">
        <v>1</v>
      </c>
      <c r="O1372" s="1521">
        <v>2</v>
      </c>
    </row>
    <row r="1373" spans="3:15" ht="13.5">
      <c r="C1373" s="1526" t="s">
        <v>5331</v>
      </c>
      <c r="D1373" s="1523">
        <v>1</v>
      </c>
      <c r="E1373" s="1523">
        <v>1</v>
      </c>
      <c r="F1373" s="1524">
        <v>2</v>
      </c>
      <c r="G1373" s="1537" t="s">
        <v>5331</v>
      </c>
      <c r="H1373" s="1521">
        <v>1</v>
      </c>
      <c r="I1373" s="1521">
        <v>1</v>
      </c>
      <c r="J1373" s="1538">
        <v>2</v>
      </c>
      <c r="K1373" s="1525"/>
      <c r="L1373" s="1519">
        <v>13121009603</v>
      </c>
      <c r="M1373" s="1520">
        <v>1</v>
      </c>
      <c r="N1373" s="1520">
        <v>1</v>
      </c>
      <c r="O1373" s="1521">
        <v>2</v>
      </c>
    </row>
    <row r="1374" spans="3:15" ht="13.5">
      <c r="C1374" s="1526" t="s">
        <v>5332</v>
      </c>
      <c r="D1374" s="1523">
        <v>1</v>
      </c>
      <c r="E1374" s="1523">
        <v>1</v>
      </c>
      <c r="F1374" s="1524">
        <v>2</v>
      </c>
      <c r="G1374" s="1537" t="s">
        <v>5332</v>
      </c>
      <c r="H1374" s="1521">
        <v>1</v>
      </c>
      <c r="I1374" s="1521">
        <v>1</v>
      </c>
      <c r="J1374" s="1538">
        <v>2</v>
      </c>
      <c r="K1374" s="1525"/>
      <c r="L1374" s="1519">
        <v>13121009700</v>
      </c>
      <c r="M1374" s="1520">
        <v>1</v>
      </c>
      <c r="N1374" s="1520">
        <v>1</v>
      </c>
      <c r="O1374" s="1521">
        <v>2</v>
      </c>
    </row>
    <row r="1375" spans="3:15" ht="13.5">
      <c r="C1375" s="1526" t="s">
        <v>5333</v>
      </c>
      <c r="D1375" s="1523">
        <v>1</v>
      </c>
      <c r="E1375" s="1523">
        <v>1</v>
      </c>
      <c r="F1375" s="1524">
        <v>2</v>
      </c>
      <c r="G1375" s="1537" t="s">
        <v>5333</v>
      </c>
      <c r="H1375" s="1521">
        <v>1</v>
      </c>
      <c r="I1375" s="1521">
        <v>1</v>
      </c>
      <c r="J1375" s="1538">
        <v>2</v>
      </c>
      <c r="K1375" s="1525"/>
      <c r="L1375" s="1519">
        <v>13121009801</v>
      </c>
      <c r="M1375" s="1520">
        <v>1</v>
      </c>
      <c r="N1375" s="1520">
        <v>1</v>
      </c>
      <c r="O1375" s="1521">
        <v>2</v>
      </c>
    </row>
    <row r="1376" spans="3:15" ht="13.5">
      <c r="C1376" s="1526" t="s">
        <v>5334</v>
      </c>
      <c r="D1376" s="1523">
        <v>1</v>
      </c>
      <c r="E1376" s="1523">
        <v>1</v>
      </c>
      <c r="F1376" s="1524">
        <v>2</v>
      </c>
      <c r="G1376" s="1537" t="s">
        <v>5334</v>
      </c>
      <c r="H1376" s="1521">
        <v>1</v>
      </c>
      <c r="I1376" s="1521">
        <v>1</v>
      </c>
      <c r="J1376" s="1538">
        <v>2</v>
      </c>
      <c r="K1376" s="1525"/>
      <c r="L1376" s="1519">
        <v>13121009802</v>
      </c>
      <c r="M1376" s="1520">
        <v>1</v>
      </c>
      <c r="N1376" s="1520">
        <v>1</v>
      </c>
      <c r="O1376" s="1521">
        <v>2</v>
      </c>
    </row>
    <row r="1377" spans="3:15" ht="13.5">
      <c r="C1377" s="1526" t="s">
        <v>5335</v>
      </c>
      <c r="D1377" s="1523">
        <v>1</v>
      </c>
      <c r="E1377" s="1523">
        <v>1</v>
      </c>
      <c r="F1377" s="1524">
        <v>2</v>
      </c>
      <c r="G1377" s="1537" t="s">
        <v>5335</v>
      </c>
      <c r="H1377" s="1521">
        <v>1</v>
      </c>
      <c r="I1377" s="1521" t="s">
        <v>4096</v>
      </c>
      <c r="J1377" s="1538">
        <v>1</v>
      </c>
      <c r="K1377" s="1525"/>
      <c r="L1377" s="1519">
        <v>13121009900</v>
      </c>
      <c r="M1377" s="1520">
        <v>1</v>
      </c>
      <c r="N1377" s="1520">
        <v>1</v>
      </c>
      <c r="O1377" s="1521">
        <v>2</v>
      </c>
    </row>
    <row r="1378" spans="3:15" ht="13.5">
      <c r="C1378" s="1526" t="s">
        <v>5336</v>
      </c>
      <c r="D1378" s="1523">
        <v>1</v>
      </c>
      <c r="E1378" s="1523">
        <v>1</v>
      </c>
      <c r="F1378" s="1524">
        <v>2</v>
      </c>
      <c r="G1378" s="1537" t="s">
        <v>5336</v>
      </c>
      <c r="H1378" s="1521">
        <v>1</v>
      </c>
      <c r="I1378" s="1521">
        <v>1</v>
      </c>
      <c r="J1378" s="1538">
        <v>2</v>
      </c>
      <c r="K1378" s="1525"/>
      <c r="L1378" s="1519">
        <v>13121010001</v>
      </c>
      <c r="M1378" s="1520">
        <v>1</v>
      </c>
      <c r="N1378" s="1520">
        <v>1</v>
      </c>
      <c r="O1378" s="1521">
        <v>2</v>
      </c>
    </row>
    <row r="1379" spans="3:15" ht="13.5">
      <c r="C1379" s="1526" t="s">
        <v>5337</v>
      </c>
      <c r="D1379" s="1523">
        <v>1</v>
      </c>
      <c r="E1379" s="1523">
        <v>1</v>
      </c>
      <c r="F1379" s="1524">
        <v>2</v>
      </c>
      <c r="G1379" s="1537" t="s">
        <v>5337</v>
      </c>
      <c r="H1379" s="1521">
        <v>1</v>
      </c>
      <c r="I1379" s="1521">
        <v>1</v>
      </c>
      <c r="J1379" s="1538">
        <v>2</v>
      </c>
      <c r="K1379" s="1525"/>
      <c r="L1379" s="1519">
        <v>13121010002</v>
      </c>
      <c r="M1379" s="1520">
        <v>1</v>
      </c>
      <c r="N1379" s="1520">
        <v>1</v>
      </c>
      <c r="O1379" s="1521">
        <v>2</v>
      </c>
    </row>
    <row r="1380" spans="3:15" ht="13.5">
      <c r="C1380" s="1526" t="s">
        <v>5338</v>
      </c>
      <c r="D1380" s="1523">
        <v>1</v>
      </c>
      <c r="E1380" s="1523">
        <v>1</v>
      </c>
      <c r="F1380" s="1524">
        <v>2</v>
      </c>
      <c r="G1380" s="1537" t="s">
        <v>5338</v>
      </c>
      <c r="H1380" s="1521">
        <v>1</v>
      </c>
      <c r="I1380" s="1521">
        <v>1</v>
      </c>
      <c r="J1380" s="1538">
        <v>2</v>
      </c>
      <c r="K1380" s="1525"/>
      <c r="L1380" s="1519">
        <v>13121010106</v>
      </c>
      <c r="M1380" s="1520">
        <v>1</v>
      </c>
      <c r="N1380" s="1520">
        <v>1</v>
      </c>
      <c r="O1380" s="1521">
        <v>2</v>
      </c>
    </row>
    <row r="1381" spans="3:15" ht="13.5">
      <c r="C1381" s="1526" t="s">
        <v>5339</v>
      </c>
      <c r="D1381" s="1523">
        <v>1</v>
      </c>
      <c r="E1381" s="1523">
        <v>1</v>
      </c>
      <c r="F1381" s="1524">
        <v>2</v>
      </c>
      <c r="G1381" s="1537" t="s">
        <v>5339</v>
      </c>
      <c r="H1381" s="1521">
        <v>1</v>
      </c>
      <c r="I1381" s="1521">
        <v>1</v>
      </c>
      <c r="J1381" s="1538">
        <v>2</v>
      </c>
      <c r="K1381" s="1525"/>
      <c r="L1381" s="1519">
        <v>13121010107</v>
      </c>
      <c r="M1381" s="1520">
        <v>1</v>
      </c>
      <c r="N1381" s="1520">
        <v>1</v>
      </c>
      <c r="O1381" s="1521">
        <v>2</v>
      </c>
    </row>
    <row r="1382" spans="3:15" ht="13.5">
      <c r="C1382" s="1526" t="s">
        <v>5340</v>
      </c>
      <c r="D1382" s="1523">
        <v>1</v>
      </c>
      <c r="E1382" s="1523">
        <v>1</v>
      </c>
      <c r="F1382" s="1524">
        <v>2</v>
      </c>
      <c r="G1382" s="1537" t="s">
        <v>5340</v>
      </c>
      <c r="H1382" s="1521">
        <v>1</v>
      </c>
      <c r="I1382" s="1521">
        <v>1</v>
      </c>
      <c r="J1382" s="1538">
        <v>2</v>
      </c>
      <c r="K1382" s="1525"/>
      <c r="L1382" s="1519">
        <v>13121010108</v>
      </c>
      <c r="M1382" s="1520">
        <v>1</v>
      </c>
      <c r="N1382" s="1520">
        <v>1</v>
      </c>
      <c r="O1382" s="1521">
        <v>2</v>
      </c>
    </row>
    <row r="1383" spans="3:15" ht="13.5">
      <c r="C1383" s="1526" t="s">
        <v>5341</v>
      </c>
      <c r="D1383" s="1523">
        <v>1</v>
      </c>
      <c r="E1383" s="1523">
        <v>1</v>
      </c>
      <c r="F1383" s="1524">
        <v>2</v>
      </c>
      <c r="G1383" s="1537" t="s">
        <v>5341</v>
      </c>
      <c r="H1383" s="1521">
        <v>1</v>
      </c>
      <c r="I1383" s="1521">
        <v>1</v>
      </c>
      <c r="J1383" s="1538">
        <v>2</v>
      </c>
      <c r="K1383" s="1525"/>
      <c r="L1383" s="1519">
        <v>13121010110</v>
      </c>
      <c r="M1383" s="1520">
        <v>1</v>
      </c>
      <c r="N1383" s="1520">
        <v>1</v>
      </c>
      <c r="O1383" s="1521">
        <v>2</v>
      </c>
    </row>
    <row r="1384" spans="3:15" ht="13.5">
      <c r="C1384" s="1526" t="s">
        <v>5342</v>
      </c>
      <c r="D1384" s="1523">
        <v>1</v>
      </c>
      <c r="E1384" s="1523">
        <v>0</v>
      </c>
      <c r="F1384" s="1524">
        <v>1</v>
      </c>
      <c r="G1384" s="1537" t="s">
        <v>5342</v>
      </c>
      <c r="H1384" s="1521">
        <v>1</v>
      </c>
      <c r="I1384" s="1521">
        <v>0</v>
      </c>
      <c r="J1384" s="1538">
        <v>1</v>
      </c>
      <c r="K1384" s="1525"/>
      <c r="L1384" s="1519">
        <v>13121010113</v>
      </c>
      <c r="M1384" s="1520">
        <v>1</v>
      </c>
      <c r="N1384" s="1520">
        <v>0</v>
      </c>
      <c r="O1384" s="1521">
        <v>1</v>
      </c>
    </row>
    <row r="1385" spans="3:15" ht="13.5">
      <c r="C1385" s="1526" t="s">
        <v>5343</v>
      </c>
      <c r="D1385" s="1523">
        <v>1</v>
      </c>
      <c r="E1385" s="1523">
        <v>1</v>
      </c>
      <c r="F1385" s="1524">
        <v>2</v>
      </c>
      <c r="G1385" s="1537" t="s">
        <v>5343</v>
      </c>
      <c r="H1385" s="1521">
        <v>1</v>
      </c>
      <c r="I1385" s="1521">
        <v>1</v>
      </c>
      <c r="J1385" s="1538">
        <v>2</v>
      </c>
      <c r="K1385" s="1525"/>
      <c r="L1385" s="1519">
        <v>13121010114</v>
      </c>
      <c r="M1385" s="1520">
        <v>1</v>
      </c>
      <c r="N1385" s="1520">
        <v>1</v>
      </c>
      <c r="O1385" s="1521">
        <v>2</v>
      </c>
    </row>
    <row r="1386" spans="3:15" ht="13.5">
      <c r="C1386" s="1526" t="s">
        <v>5344</v>
      </c>
      <c r="D1386" s="1523">
        <v>1</v>
      </c>
      <c r="E1386" s="1523">
        <v>1</v>
      </c>
      <c r="F1386" s="1524">
        <v>2</v>
      </c>
      <c r="G1386" s="1537" t="s">
        <v>5344</v>
      </c>
      <c r="H1386" s="1521">
        <v>1</v>
      </c>
      <c r="I1386" s="1521">
        <v>1</v>
      </c>
      <c r="J1386" s="1538">
        <v>2</v>
      </c>
      <c r="K1386" s="1525"/>
      <c r="L1386" s="1519">
        <v>13121010115</v>
      </c>
      <c r="M1386" s="1520">
        <v>1</v>
      </c>
      <c r="N1386" s="1520">
        <v>1</v>
      </c>
      <c r="O1386" s="1521">
        <v>2</v>
      </c>
    </row>
    <row r="1387" spans="3:15" ht="13.5">
      <c r="C1387" s="1526" t="s">
        <v>5345</v>
      </c>
      <c r="D1387" s="1523">
        <v>1</v>
      </c>
      <c r="E1387" s="1523">
        <v>0</v>
      </c>
      <c r="F1387" s="1524">
        <v>1</v>
      </c>
      <c r="G1387" s="1537" t="s">
        <v>5345</v>
      </c>
      <c r="H1387" s="1521">
        <v>1</v>
      </c>
      <c r="I1387" s="1521" t="s">
        <v>4096</v>
      </c>
      <c r="J1387" s="1538">
        <v>1</v>
      </c>
      <c r="K1387" s="1525"/>
      <c r="L1387" s="1519">
        <v>13121010117</v>
      </c>
      <c r="M1387" s="1520">
        <v>1</v>
      </c>
      <c r="N1387" s="1520">
        <v>0</v>
      </c>
      <c r="O1387" s="1521">
        <v>1</v>
      </c>
    </row>
    <row r="1388" spans="3:15" ht="13.5">
      <c r="C1388" s="1526" t="s">
        <v>5346</v>
      </c>
      <c r="D1388" s="1523">
        <v>0</v>
      </c>
      <c r="E1388" s="1523">
        <v>0</v>
      </c>
      <c r="F1388" s="1524">
        <v>0</v>
      </c>
      <c r="G1388" s="1537" t="s">
        <v>5346</v>
      </c>
      <c r="H1388" s="1521">
        <v>1</v>
      </c>
      <c r="I1388" s="1521" t="s">
        <v>4096</v>
      </c>
      <c r="J1388" s="1538">
        <v>1</v>
      </c>
      <c r="K1388" s="1525"/>
      <c r="L1388" s="1519">
        <v>13121010118</v>
      </c>
      <c r="M1388" s="1520">
        <v>1</v>
      </c>
      <c r="N1388" s="1520">
        <v>0</v>
      </c>
      <c r="O1388" s="1521">
        <v>1</v>
      </c>
    </row>
    <row r="1389" spans="3:15" ht="13.5">
      <c r="C1389" s="1526" t="s">
        <v>5347</v>
      </c>
      <c r="D1389" s="1523">
        <v>0</v>
      </c>
      <c r="E1389" s="1523">
        <v>0</v>
      </c>
      <c r="F1389" s="1524">
        <v>0</v>
      </c>
      <c r="G1389" s="1537" t="s">
        <v>5347</v>
      </c>
      <c r="H1389" s="1521">
        <v>0</v>
      </c>
      <c r="I1389" s="1521">
        <v>0</v>
      </c>
      <c r="J1389" s="1538">
        <v>0</v>
      </c>
      <c r="K1389" s="1525"/>
      <c r="L1389" s="1519">
        <v>13121010119</v>
      </c>
      <c r="M1389" s="1520">
        <v>0</v>
      </c>
      <c r="N1389" s="1520">
        <v>0</v>
      </c>
      <c r="O1389" s="1521">
        <v>0</v>
      </c>
    </row>
    <row r="1390" spans="3:15" ht="13.5">
      <c r="C1390" s="1526" t="s">
        <v>5348</v>
      </c>
      <c r="D1390" s="1523">
        <v>1</v>
      </c>
      <c r="E1390" s="1523">
        <v>1</v>
      </c>
      <c r="F1390" s="1524">
        <v>2</v>
      </c>
      <c r="G1390" s="1537" t="s">
        <v>5348</v>
      </c>
      <c r="H1390" s="1521">
        <v>1</v>
      </c>
      <c r="I1390" s="1521" t="s">
        <v>4096</v>
      </c>
      <c r="J1390" s="1538">
        <v>1</v>
      </c>
      <c r="K1390" s="1525"/>
      <c r="L1390" s="1519">
        <v>13121010120</v>
      </c>
      <c r="M1390" s="1520">
        <v>1</v>
      </c>
      <c r="N1390" s="1520">
        <v>1</v>
      </c>
      <c r="O1390" s="1521">
        <v>2</v>
      </c>
    </row>
    <row r="1391" spans="3:15" ht="13.5">
      <c r="C1391" s="1526" t="s">
        <v>5349</v>
      </c>
      <c r="D1391" s="1523">
        <v>1</v>
      </c>
      <c r="E1391" s="1523">
        <v>1</v>
      </c>
      <c r="F1391" s="1524">
        <v>2</v>
      </c>
      <c r="G1391" s="1537" t="s">
        <v>5349</v>
      </c>
      <c r="H1391" s="1521">
        <v>1</v>
      </c>
      <c r="I1391" s="1521">
        <v>1</v>
      </c>
      <c r="J1391" s="1538">
        <v>2</v>
      </c>
      <c r="K1391" s="1525"/>
      <c r="L1391" s="1519">
        <v>13121010121</v>
      </c>
      <c r="M1391" s="1520">
        <v>1</v>
      </c>
      <c r="N1391" s="1520">
        <v>1</v>
      </c>
      <c r="O1391" s="1521">
        <v>2</v>
      </c>
    </row>
    <row r="1392" spans="3:15" ht="13.5">
      <c r="C1392" s="1526" t="s">
        <v>5350</v>
      </c>
      <c r="D1392" s="1523">
        <v>1</v>
      </c>
      <c r="E1392" s="1523">
        <v>1</v>
      </c>
      <c r="F1392" s="1524">
        <v>2</v>
      </c>
      <c r="G1392" s="1537" t="s">
        <v>5350</v>
      </c>
      <c r="H1392" s="1521">
        <v>1</v>
      </c>
      <c r="I1392" s="1521">
        <v>1</v>
      </c>
      <c r="J1392" s="1538">
        <v>2</v>
      </c>
      <c r="K1392" s="1525"/>
      <c r="L1392" s="1519">
        <v>13121010122</v>
      </c>
      <c r="M1392" s="1520">
        <v>1</v>
      </c>
      <c r="N1392" s="1520">
        <v>1</v>
      </c>
      <c r="O1392" s="1521">
        <v>2</v>
      </c>
    </row>
    <row r="1393" spans="3:15" ht="13.5">
      <c r="C1393" s="1526" t="s">
        <v>5351</v>
      </c>
      <c r="D1393" s="1523">
        <v>1</v>
      </c>
      <c r="E1393" s="1523">
        <v>0</v>
      </c>
      <c r="F1393" s="1524">
        <v>1</v>
      </c>
      <c r="G1393" s="1537" t="s">
        <v>5351</v>
      </c>
      <c r="H1393" s="1521">
        <v>1</v>
      </c>
      <c r="I1393" s="1521">
        <v>1</v>
      </c>
      <c r="J1393" s="1538">
        <v>2</v>
      </c>
      <c r="K1393" s="1525"/>
      <c r="L1393" s="1519">
        <v>13121010123</v>
      </c>
      <c r="M1393" s="1520">
        <v>1</v>
      </c>
      <c r="N1393" s="1520">
        <v>1</v>
      </c>
      <c r="O1393" s="1521">
        <v>2</v>
      </c>
    </row>
    <row r="1394" spans="3:15" ht="13.5">
      <c r="C1394" s="1526" t="s">
        <v>5352</v>
      </c>
      <c r="D1394" s="1523">
        <v>1</v>
      </c>
      <c r="E1394" s="1523">
        <v>1</v>
      </c>
      <c r="F1394" s="1524">
        <v>2</v>
      </c>
      <c r="G1394" s="1537" t="s">
        <v>5352</v>
      </c>
      <c r="H1394" s="1521">
        <v>1</v>
      </c>
      <c r="I1394" s="1521">
        <v>1</v>
      </c>
      <c r="J1394" s="1538">
        <v>2</v>
      </c>
      <c r="K1394" s="1525"/>
      <c r="L1394" s="1519">
        <v>13121010204</v>
      </c>
      <c r="M1394" s="1520">
        <v>1</v>
      </c>
      <c r="N1394" s="1520">
        <v>1</v>
      </c>
      <c r="O1394" s="1521">
        <v>2</v>
      </c>
    </row>
    <row r="1395" spans="3:15" ht="13.5">
      <c r="C1395" s="1526" t="s">
        <v>5353</v>
      </c>
      <c r="D1395" s="1523">
        <v>1</v>
      </c>
      <c r="E1395" s="1523">
        <v>1</v>
      </c>
      <c r="F1395" s="1524">
        <v>2</v>
      </c>
      <c r="G1395" s="1537" t="s">
        <v>5353</v>
      </c>
      <c r="H1395" s="1521">
        <v>1</v>
      </c>
      <c r="I1395" s="1521">
        <v>1</v>
      </c>
      <c r="J1395" s="1538">
        <v>2</v>
      </c>
      <c r="K1395" s="1525"/>
      <c r="L1395" s="1519">
        <v>13121010205</v>
      </c>
      <c r="M1395" s="1520">
        <v>1</v>
      </c>
      <c r="N1395" s="1520">
        <v>1</v>
      </c>
      <c r="O1395" s="1521">
        <v>2</v>
      </c>
    </row>
    <row r="1396" spans="3:15" ht="13.5">
      <c r="C1396" s="1526" t="s">
        <v>5354</v>
      </c>
      <c r="D1396" s="1523">
        <v>1</v>
      </c>
      <c r="E1396" s="1523">
        <v>1</v>
      </c>
      <c r="F1396" s="1524">
        <v>2</v>
      </c>
      <c r="G1396" s="1537" t="s">
        <v>5354</v>
      </c>
      <c r="H1396" s="1521">
        <v>1</v>
      </c>
      <c r="I1396" s="1521">
        <v>1</v>
      </c>
      <c r="J1396" s="1538">
        <v>2</v>
      </c>
      <c r="K1396" s="1525"/>
      <c r="L1396" s="1519">
        <v>13121010206</v>
      </c>
      <c r="M1396" s="1520">
        <v>1</v>
      </c>
      <c r="N1396" s="1520">
        <v>1</v>
      </c>
      <c r="O1396" s="1521">
        <v>2</v>
      </c>
    </row>
    <row r="1397" spans="3:15" ht="13.5">
      <c r="C1397" s="1526" t="s">
        <v>5355</v>
      </c>
      <c r="D1397" s="1523">
        <v>1</v>
      </c>
      <c r="E1397" s="1523">
        <v>0</v>
      </c>
      <c r="F1397" s="1524">
        <v>1</v>
      </c>
      <c r="G1397" s="1537" t="s">
        <v>5355</v>
      </c>
      <c r="H1397" s="1521">
        <v>1</v>
      </c>
      <c r="I1397" s="1521">
        <v>1</v>
      </c>
      <c r="J1397" s="1538">
        <v>2</v>
      </c>
      <c r="K1397" s="1525"/>
      <c r="L1397" s="1519">
        <v>13121010208</v>
      </c>
      <c r="M1397" s="1520">
        <v>1</v>
      </c>
      <c r="N1397" s="1520">
        <v>1</v>
      </c>
      <c r="O1397" s="1521">
        <v>2</v>
      </c>
    </row>
    <row r="1398" spans="3:15" ht="13.5">
      <c r="C1398" s="1526" t="s">
        <v>5356</v>
      </c>
      <c r="D1398" s="1523">
        <v>1</v>
      </c>
      <c r="E1398" s="1523">
        <v>1</v>
      </c>
      <c r="F1398" s="1524">
        <v>2</v>
      </c>
      <c r="G1398" s="1537" t="s">
        <v>5356</v>
      </c>
      <c r="H1398" s="1521">
        <v>1</v>
      </c>
      <c r="I1398" s="1521" t="s">
        <v>4096</v>
      </c>
      <c r="J1398" s="1538">
        <v>1</v>
      </c>
      <c r="K1398" s="1525"/>
      <c r="L1398" s="1519">
        <v>13121010209</v>
      </c>
      <c r="M1398" s="1520">
        <v>1</v>
      </c>
      <c r="N1398" s="1520">
        <v>1</v>
      </c>
      <c r="O1398" s="1521">
        <v>2</v>
      </c>
    </row>
    <row r="1399" spans="3:15" ht="13.5">
      <c r="C1399" s="1526" t="s">
        <v>5357</v>
      </c>
      <c r="D1399" s="1523">
        <v>1</v>
      </c>
      <c r="E1399" s="1523">
        <v>1</v>
      </c>
      <c r="F1399" s="1524">
        <v>2</v>
      </c>
      <c r="G1399" s="1537" t="s">
        <v>5357</v>
      </c>
      <c r="H1399" s="1521">
        <v>1</v>
      </c>
      <c r="I1399" s="1521">
        <v>1</v>
      </c>
      <c r="J1399" s="1538">
        <v>2</v>
      </c>
      <c r="K1399" s="1525"/>
      <c r="L1399" s="1519">
        <v>13121010210</v>
      </c>
      <c r="M1399" s="1520">
        <v>1</v>
      </c>
      <c r="N1399" s="1520">
        <v>1</v>
      </c>
      <c r="O1399" s="1521">
        <v>2</v>
      </c>
    </row>
    <row r="1400" spans="3:15" ht="13.5">
      <c r="C1400" s="1526" t="s">
        <v>5358</v>
      </c>
      <c r="D1400" s="1523">
        <v>1</v>
      </c>
      <c r="E1400" s="1523">
        <v>1</v>
      </c>
      <c r="F1400" s="1524">
        <v>2</v>
      </c>
      <c r="G1400" s="1537" t="s">
        <v>5358</v>
      </c>
      <c r="H1400" s="1521">
        <v>1</v>
      </c>
      <c r="I1400" s="1521">
        <v>1</v>
      </c>
      <c r="J1400" s="1538">
        <v>2</v>
      </c>
      <c r="K1400" s="1525"/>
      <c r="L1400" s="1519">
        <v>13121010211</v>
      </c>
      <c r="M1400" s="1520">
        <v>1</v>
      </c>
      <c r="N1400" s="1520">
        <v>1</v>
      </c>
      <c r="O1400" s="1521">
        <v>2</v>
      </c>
    </row>
    <row r="1401" spans="3:15" ht="13.5">
      <c r="C1401" s="1526" t="s">
        <v>5359</v>
      </c>
      <c r="D1401" s="1523">
        <v>1</v>
      </c>
      <c r="E1401" s="1523">
        <v>0</v>
      </c>
      <c r="F1401" s="1524">
        <v>1</v>
      </c>
      <c r="G1401" s="1537" t="s">
        <v>5359</v>
      </c>
      <c r="H1401" s="1521">
        <v>1</v>
      </c>
      <c r="I1401" s="1521">
        <v>0</v>
      </c>
      <c r="J1401" s="1538">
        <v>1</v>
      </c>
      <c r="K1401" s="1525"/>
      <c r="L1401" s="1519">
        <v>13121010212</v>
      </c>
      <c r="M1401" s="1520">
        <v>1</v>
      </c>
      <c r="N1401" s="1520">
        <v>0</v>
      </c>
      <c r="O1401" s="1521">
        <v>1</v>
      </c>
    </row>
    <row r="1402" spans="3:15" ht="13.5">
      <c r="C1402" s="1526" t="s">
        <v>5360</v>
      </c>
      <c r="D1402" s="1523">
        <v>1</v>
      </c>
      <c r="E1402" s="1523">
        <v>0</v>
      </c>
      <c r="F1402" s="1524">
        <v>1</v>
      </c>
      <c r="G1402" s="1537" t="s">
        <v>5360</v>
      </c>
      <c r="H1402" s="1521">
        <v>1</v>
      </c>
      <c r="I1402" s="1521">
        <v>1</v>
      </c>
      <c r="J1402" s="1538">
        <v>2</v>
      </c>
      <c r="K1402" s="1525"/>
      <c r="L1402" s="1519">
        <v>13121010301</v>
      </c>
      <c r="M1402" s="1520">
        <v>1</v>
      </c>
      <c r="N1402" s="1520">
        <v>1</v>
      </c>
      <c r="O1402" s="1521">
        <v>2</v>
      </c>
    </row>
    <row r="1403" spans="3:15" ht="13.5">
      <c r="C1403" s="1526" t="s">
        <v>5361</v>
      </c>
      <c r="D1403" s="1523">
        <v>1</v>
      </c>
      <c r="E1403" s="1523">
        <v>0</v>
      </c>
      <c r="F1403" s="1524">
        <v>1</v>
      </c>
      <c r="G1403" s="1537" t="s">
        <v>5361</v>
      </c>
      <c r="H1403" s="1521">
        <v>1</v>
      </c>
      <c r="I1403" s="1521">
        <v>1</v>
      </c>
      <c r="J1403" s="1538">
        <v>2</v>
      </c>
      <c r="K1403" s="1525"/>
      <c r="L1403" s="1519">
        <v>13121010303</v>
      </c>
      <c r="M1403" s="1520">
        <v>1</v>
      </c>
      <c r="N1403" s="1520">
        <v>1</v>
      </c>
      <c r="O1403" s="1521">
        <v>2</v>
      </c>
    </row>
    <row r="1404" spans="3:15" ht="13.5">
      <c r="C1404" s="1526" t="s">
        <v>5362</v>
      </c>
      <c r="D1404" s="1523">
        <v>1</v>
      </c>
      <c r="E1404" s="1523">
        <v>1</v>
      </c>
      <c r="F1404" s="1524">
        <v>2</v>
      </c>
      <c r="G1404" s="1537" t="s">
        <v>5362</v>
      </c>
      <c r="H1404" s="1521">
        <v>1</v>
      </c>
      <c r="I1404" s="1521">
        <v>1</v>
      </c>
      <c r="J1404" s="1538">
        <v>2</v>
      </c>
      <c r="K1404" s="1525"/>
      <c r="L1404" s="1519">
        <v>13121010304</v>
      </c>
      <c r="M1404" s="1520">
        <v>1</v>
      </c>
      <c r="N1404" s="1520">
        <v>1</v>
      </c>
      <c r="O1404" s="1521">
        <v>2</v>
      </c>
    </row>
    <row r="1405" spans="3:15" ht="13.5">
      <c r="C1405" s="1526" t="s">
        <v>5363</v>
      </c>
      <c r="D1405" s="1523">
        <v>0</v>
      </c>
      <c r="E1405" s="1523">
        <v>0</v>
      </c>
      <c r="F1405" s="1524">
        <v>0</v>
      </c>
      <c r="G1405" s="1537" t="s">
        <v>5363</v>
      </c>
      <c r="H1405" s="1521">
        <v>0</v>
      </c>
      <c r="I1405" s="1521">
        <v>0</v>
      </c>
      <c r="J1405" s="1538">
        <v>0</v>
      </c>
      <c r="K1405" s="1525"/>
      <c r="L1405" s="1519">
        <v>13121010400</v>
      </c>
      <c r="M1405" s="1520">
        <v>0</v>
      </c>
      <c r="N1405" s="1520">
        <v>0</v>
      </c>
      <c r="O1405" s="1521">
        <v>0</v>
      </c>
    </row>
    <row r="1406" spans="3:15" ht="13.5">
      <c r="C1406" s="1526" t="s">
        <v>5364</v>
      </c>
      <c r="D1406" s="1523">
        <v>0</v>
      </c>
      <c r="E1406" s="1523">
        <v>0</v>
      </c>
      <c r="F1406" s="1524">
        <v>0</v>
      </c>
      <c r="G1406" s="1537" t="s">
        <v>5364</v>
      </c>
      <c r="H1406" s="1521">
        <v>0</v>
      </c>
      <c r="I1406" s="1521">
        <v>1</v>
      </c>
      <c r="J1406" s="1538">
        <v>1</v>
      </c>
      <c r="K1406" s="1525"/>
      <c r="L1406" s="1519">
        <v>13121010507</v>
      </c>
      <c r="M1406" s="1520">
        <v>0</v>
      </c>
      <c r="N1406" s="1520">
        <v>1</v>
      </c>
      <c r="O1406" s="1521">
        <v>1</v>
      </c>
    </row>
    <row r="1407" spans="3:15" ht="13.5">
      <c r="C1407" s="1526" t="s">
        <v>5365</v>
      </c>
      <c r="D1407" s="1523">
        <v>0</v>
      </c>
      <c r="E1407" s="1523">
        <v>0</v>
      </c>
      <c r="F1407" s="1524">
        <v>0</v>
      </c>
      <c r="G1407" s="1537" t="s">
        <v>5365</v>
      </c>
      <c r="H1407" s="1521">
        <v>0</v>
      </c>
      <c r="I1407" s="1521">
        <v>0</v>
      </c>
      <c r="J1407" s="1538">
        <v>0</v>
      </c>
      <c r="K1407" s="1525"/>
      <c r="L1407" s="1519">
        <v>13121010508</v>
      </c>
      <c r="M1407" s="1520">
        <v>0</v>
      </c>
      <c r="N1407" s="1520">
        <v>0</v>
      </c>
      <c r="O1407" s="1521">
        <v>0</v>
      </c>
    </row>
    <row r="1408" spans="3:15" ht="13.5">
      <c r="C1408" s="1526" t="s">
        <v>5366</v>
      </c>
      <c r="D1408" s="1523">
        <v>0</v>
      </c>
      <c r="E1408" s="1523">
        <v>0</v>
      </c>
      <c r="F1408" s="1524">
        <v>0</v>
      </c>
      <c r="G1408" s="1537" t="s">
        <v>5366</v>
      </c>
      <c r="H1408" s="1521">
        <v>0</v>
      </c>
      <c r="I1408" s="1521">
        <v>1</v>
      </c>
      <c r="J1408" s="1538">
        <v>1</v>
      </c>
      <c r="K1408" s="1525"/>
      <c r="L1408" s="1519">
        <v>13121010510</v>
      </c>
      <c r="M1408" s="1520">
        <v>0</v>
      </c>
      <c r="N1408" s="1520">
        <v>1</v>
      </c>
      <c r="O1408" s="1521">
        <v>1</v>
      </c>
    </row>
    <row r="1409" spans="3:15" ht="13.5">
      <c r="C1409" s="1526" t="s">
        <v>5367</v>
      </c>
      <c r="D1409" s="1523">
        <v>0</v>
      </c>
      <c r="E1409" s="1523">
        <v>0</v>
      </c>
      <c r="F1409" s="1524">
        <v>0</v>
      </c>
      <c r="G1409" s="1537" t="s">
        <v>5367</v>
      </c>
      <c r="H1409" s="1521">
        <v>0</v>
      </c>
      <c r="I1409" s="1521">
        <v>1</v>
      </c>
      <c r="J1409" s="1538">
        <v>1</v>
      </c>
      <c r="K1409" s="1525"/>
      <c r="L1409" s="1519">
        <v>13121010511</v>
      </c>
      <c r="M1409" s="1520">
        <v>0</v>
      </c>
      <c r="N1409" s="1520">
        <v>1</v>
      </c>
      <c r="O1409" s="1521">
        <v>1</v>
      </c>
    </row>
    <row r="1410" spans="3:15" ht="13.5">
      <c r="C1410" s="1526" t="s">
        <v>5368</v>
      </c>
      <c r="D1410" s="1523">
        <v>0</v>
      </c>
      <c r="E1410" s="1523">
        <v>0</v>
      </c>
      <c r="F1410" s="1524">
        <v>0</v>
      </c>
      <c r="G1410" s="1537" t="s">
        <v>5368</v>
      </c>
      <c r="H1410" s="1521">
        <v>0</v>
      </c>
      <c r="I1410" s="1521" t="s">
        <v>4096</v>
      </c>
      <c r="J1410" s="1538">
        <v>0</v>
      </c>
      <c r="K1410" s="1525"/>
      <c r="L1410" s="1519">
        <v>13121010512</v>
      </c>
      <c r="M1410" s="1520">
        <v>0</v>
      </c>
      <c r="N1410" s="1520">
        <v>0</v>
      </c>
      <c r="O1410" s="1521">
        <v>0</v>
      </c>
    </row>
    <row r="1411" spans="3:15" ht="13.5">
      <c r="C1411" s="1526" t="s">
        <v>5369</v>
      </c>
      <c r="D1411" s="1523">
        <v>0</v>
      </c>
      <c r="E1411" s="1523">
        <v>0</v>
      </c>
      <c r="F1411" s="1524">
        <v>0</v>
      </c>
      <c r="G1411" s="1537" t="s">
        <v>5369</v>
      </c>
      <c r="H1411" s="1521">
        <v>0</v>
      </c>
      <c r="I1411" s="1521">
        <v>0</v>
      </c>
      <c r="J1411" s="1538">
        <v>0</v>
      </c>
      <c r="K1411" s="1525"/>
      <c r="L1411" s="1519">
        <v>13121010513</v>
      </c>
      <c r="M1411" s="1520">
        <v>0</v>
      </c>
      <c r="N1411" s="1520">
        <v>0</v>
      </c>
      <c r="O1411" s="1521">
        <v>0</v>
      </c>
    </row>
    <row r="1412" spans="3:15" ht="13.5">
      <c r="C1412" s="1526" t="s">
        <v>5370</v>
      </c>
      <c r="D1412" s="1523">
        <v>1</v>
      </c>
      <c r="E1412" s="1523">
        <v>1</v>
      </c>
      <c r="F1412" s="1524">
        <v>2</v>
      </c>
      <c r="G1412" s="1537" t="s">
        <v>5370</v>
      </c>
      <c r="H1412" s="1521">
        <v>1</v>
      </c>
      <c r="I1412" s="1521">
        <v>1</v>
      </c>
      <c r="J1412" s="1538">
        <v>2</v>
      </c>
      <c r="K1412" s="1525"/>
      <c r="L1412" s="1519">
        <v>13121010514</v>
      </c>
      <c r="M1412" s="1520">
        <v>1</v>
      </c>
      <c r="N1412" s="1520">
        <v>1</v>
      </c>
      <c r="O1412" s="1521">
        <v>2</v>
      </c>
    </row>
    <row r="1413" spans="3:15" ht="13.5">
      <c r="C1413" s="1526" t="s">
        <v>5371</v>
      </c>
      <c r="D1413" s="1523">
        <v>0</v>
      </c>
      <c r="E1413" s="1523">
        <v>0</v>
      </c>
      <c r="F1413" s="1524">
        <v>0</v>
      </c>
      <c r="G1413" s="1537" t="s">
        <v>5371</v>
      </c>
      <c r="H1413" s="1521">
        <v>1</v>
      </c>
      <c r="I1413" s="1521">
        <v>0</v>
      </c>
      <c r="J1413" s="1538">
        <v>1</v>
      </c>
      <c r="K1413" s="1525"/>
      <c r="L1413" s="1519">
        <v>13121010515</v>
      </c>
      <c r="M1413" s="1520">
        <v>1</v>
      </c>
      <c r="N1413" s="1520">
        <v>0</v>
      </c>
      <c r="O1413" s="1521">
        <v>1</v>
      </c>
    </row>
    <row r="1414" spans="3:15" ht="13.5">
      <c r="C1414" s="1526" t="s">
        <v>5372</v>
      </c>
      <c r="D1414" s="1523">
        <v>0</v>
      </c>
      <c r="E1414" s="1523">
        <v>0</v>
      </c>
      <c r="F1414" s="1524">
        <v>0</v>
      </c>
      <c r="G1414" s="1537" t="s">
        <v>5372</v>
      </c>
      <c r="H1414" s="1521">
        <v>0</v>
      </c>
      <c r="I1414" s="1521">
        <v>0</v>
      </c>
      <c r="J1414" s="1538">
        <v>0</v>
      </c>
      <c r="K1414" s="1525"/>
      <c r="L1414" s="1519">
        <v>13121010516</v>
      </c>
      <c r="M1414" s="1520">
        <v>0</v>
      </c>
      <c r="N1414" s="1520">
        <v>0</v>
      </c>
      <c r="O1414" s="1521">
        <v>0</v>
      </c>
    </row>
    <row r="1415" spans="3:15" ht="13.5">
      <c r="C1415" s="1526" t="s">
        <v>5373</v>
      </c>
      <c r="D1415" s="1523">
        <v>0</v>
      </c>
      <c r="E1415" s="1523">
        <v>0</v>
      </c>
      <c r="F1415" s="1524">
        <v>0</v>
      </c>
      <c r="G1415" s="1537" t="s">
        <v>5373</v>
      </c>
      <c r="H1415" s="1521">
        <v>0</v>
      </c>
      <c r="I1415" s="1521">
        <v>0</v>
      </c>
      <c r="J1415" s="1538">
        <v>0</v>
      </c>
      <c r="K1415" s="1525"/>
      <c r="L1415" s="1519">
        <v>13121010601</v>
      </c>
      <c r="M1415" s="1520">
        <v>0</v>
      </c>
      <c r="N1415" s="1520">
        <v>0</v>
      </c>
      <c r="O1415" s="1521">
        <v>0</v>
      </c>
    </row>
    <row r="1416" spans="3:15" ht="13.5">
      <c r="C1416" s="1526" t="s">
        <v>5374</v>
      </c>
      <c r="D1416" s="1523">
        <v>0</v>
      </c>
      <c r="E1416" s="1523">
        <v>0</v>
      </c>
      <c r="F1416" s="1524">
        <v>0</v>
      </c>
      <c r="G1416" s="1537" t="s">
        <v>5374</v>
      </c>
      <c r="H1416" s="1521">
        <v>0</v>
      </c>
      <c r="I1416" s="1521">
        <v>0</v>
      </c>
      <c r="J1416" s="1538">
        <v>0</v>
      </c>
      <c r="K1416" s="1525"/>
      <c r="L1416" s="1519">
        <v>13121010603</v>
      </c>
      <c r="M1416" s="1520">
        <v>0</v>
      </c>
      <c r="N1416" s="1520">
        <v>0</v>
      </c>
      <c r="O1416" s="1521">
        <v>0</v>
      </c>
    </row>
    <row r="1417" spans="3:15" ht="13.5">
      <c r="C1417" s="1526" t="s">
        <v>5375</v>
      </c>
      <c r="D1417" s="1523">
        <v>0</v>
      </c>
      <c r="E1417" s="1523">
        <v>0</v>
      </c>
      <c r="F1417" s="1524">
        <v>0</v>
      </c>
      <c r="G1417" s="1537" t="s">
        <v>5375</v>
      </c>
      <c r="H1417" s="1521">
        <v>0</v>
      </c>
      <c r="I1417" s="1521">
        <v>0</v>
      </c>
      <c r="J1417" s="1538">
        <v>0</v>
      </c>
      <c r="K1417" s="1525"/>
      <c r="L1417" s="1519">
        <v>13121010604</v>
      </c>
      <c r="M1417" s="1520">
        <v>0</v>
      </c>
      <c r="N1417" s="1520">
        <v>0</v>
      </c>
      <c r="O1417" s="1521">
        <v>0</v>
      </c>
    </row>
    <row r="1418" spans="3:15" ht="13.5">
      <c r="C1418" s="1526" t="s">
        <v>5376</v>
      </c>
      <c r="D1418" s="1523">
        <v>0</v>
      </c>
      <c r="E1418" s="1523">
        <v>0</v>
      </c>
      <c r="F1418" s="1524">
        <v>0</v>
      </c>
      <c r="G1418" s="1537" t="s">
        <v>5376</v>
      </c>
      <c r="H1418" s="1521">
        <v>1</v>
      </c>
      <c r="I1418" s="1521">
        <v>0</v>
      </c>
      <c r="J1418" s="1538">
        <v>1</v>
      </c>
      <c r="K1418" s="1525"/>
      <c r="L1418" s="1519">
        <v>13121010800</v>
      </c>
      <c r="M1418" s="1520">
        <v>1</v>
      </c>
      <c r="N1418" s="1520">
        <v>0</v>
      </c>
      <c r="O1418" s="1521">
        <v>1</v>
      </c>
    </row>
    <row r="1419" spans="3:15" ht="13.5">
      <c r="C1419" s="1526" t="s">
        <v>5377</v>
      </c>
      <c r="D1419" s="1523">
        <v>0</v>
      </c>
      <c r="E1419" s="1523">
        <v>0</v>
      </c>
      <c r="F1419" s="1524">
        <v>0</v>
      </c>
      <c r="G1419" s="1537" t="s">
        <v>5377</v>
      </c>
      <c r="H1419" s="1521">
        <v>0</v>
      </c>
      <c r="I1419" s="1521">
        <v>0</v>
      </c>
      <c r="J1419" s="1538">
        <v>0</v>
      </c>
      <c r="K1419" s="1525"/>
      <c r="L1419" s="1519">
        <v>13121011000</v>
      </c>
      <c r="M1419" s="1520">
        <v>0</v>
      </c>
      <c r="N1419" s="1520">
        <v>0</v>
      </c>
      <c r="O1419" s="1521">
        <v>0</v>
      </c>
    </row>
    <row r="1420" spans="3:15" ht="13.5">
      <c r="C1420" s="1526" t="s">
        <v>5378</v>
      </c>
      <c r="D1420" s="1523">
        <v>1</v>
      </c>
      <c r="E1420" s="1523">
        <v>0</v>
      </c>
      <c r="F1420" s="1524">
        <v>1</v>
      </c>
      <c r="G1420" s="1537" t="s">
        <v>5378</v>
      </c>
      <c r="H1420" s="1521">
        <v>1</v>
      </c>
      <c r="I1420" s="1521">
        <v>0</v>
      </c>
      <c r="J1420" s="1538">
        <v>1</v>
      </c>
      <c r="K1420" s="1525"/>
      <c r="L1420" s="1519">
        <v>13121011100</v>
      </c>
      <c r="M1420" s="1520">
        <v>1</v>
      </c>
      <c r="N1420" s="1520">
        <v>0</v>
      </c>
      <c r="O1420" s="1521">
        <v>1</v>
      </c>
    </row>
    <row r="1421" spans="3:15" ht="13.5">
      <c r="C1421" s="1526" t="s">
        <v>5379</v>
      </c>
      <c r="D1421" s="1523">
        <v>0</v>
      </c>
      <c r="E1421" s="1523">
        <v>0</v>
      </c>
      <c r="F1421" s="1524">
        <v>0</v>
      </c>
      <c r="G1421" s="1537" t="s">
        <v>5379</v>
      </c>
      <c r="H1421" s="1521">
        <v>0</v>
      </c>
      <c r="I1421" s="1521">
        <v>0</v>
      </c>
      <c r="J1421" s="1538">
        <v>0</v>
      </c>
      <c r="K1421" s="1525"/>
      <c r="L1421" s="1519">
        <v>13121011201</v>
      </c>
      <c r="M1421" s="1520">
        <v>0</v>
      </c>
      <c r="N1421" s="1520">
        <v>0</v>
      </c>
      <c r="O1421" s="1521">
        <v>0</v>
      </c>
    </row>
    <row r="1422" spans="3:15" ht="13.5">
      <c r="C1422" s="1526" t="s">
        <v>5380</v>
      </c>
      <c r="D1422" s="1523">
        <v>0</v>
      </c>
      <c r="E1422" s="1523">
        <v>0</v>
      </c>
      <c r="F1422" s="1524">
        <v>0</v>
      </c>
      <c r="G1422" s="1537" t="s">
        <v>5380</v>
      </c>
      <c r="H1422" s="1521">
        <v>0</v>
      </c>
      <c r="I1422" s="1521">
        <v>0</v>
      </c>
      <c r="J1422" s="1538">
        <v>0</v>
      </c>
      <c r="K1422" s="1525"/>
      <c r="L1422" s="1519">
        <v>13121011202</v>
      </c>
      <c r="M1422" s="1520">
        <v>0</v>
      </c>
      <c r="N1422" s="1520">
        <v>0</v>
      </c>
      <c r="O1422" s="1521">
        <v>0</v>
      </c>
    </row>
    <row r="1423" spans="3:15" ht="13.5">
      <c r="C1423" s="1526" t="s">
        <v>5381</v>
      </c>
      <c r="D1423" s="1523">
        <v>0</v>
      </c>
      <c r="E1423" s="1523">
        <v>0</v>
      </c>
      <c r="F1423" s="1524">
        <v>0</v>
      </c>
      <c r="G1423" s="1537" t="s">
        <v>5381</v>
      </c>
      <c r="H1423" s="1521">
        <v>0</v>
      </c>
      <c r="I1423" s="1521">
        <v>0</v>
      </c>
      <c r="J1423" s="1538">
        <v>0</v>
      </c>
      <c r="K1423" s="1525"/>
      <c r="L1423" s="1519">
        <v>13121011301</v>
      </c>
      <c r="M1423" s="1520">
        <v>0</v>
      </c>
      <c r="N1423" s="1520">
        <v>0</v>
      </c>
      <c r="O1423" s="1521">
        <v>0</v>
      </c>
    </row>
    <row r="1424" spans="3:15" ht="13.5">
      <c r="C1424" s="1526" t="s">
        <v>5382</v>
      </c>
      <c r="D1424" s="1523">
        <v>0</v>
      </c>
      <c r="E1424" s="1523">
        <v>0</v>
      </c>
      <c r="F1424" s="1524">
        <v>0</v>
      </c>
      <c r="G1424" s="1537" t="s">
        <v>5382</v>
      </c>
      <c r="H1424" s="1521">
        <v>1</v>
      </c>
      <c r="I1424" s="1521">
        <v>0</v>
      </c>
      <c r="J1424" s="1538">
        <v>1</v>
      </c>
      <c r="K1424" s="1525"/>
      <c r="L1424" s="1519">
        <v>13121011303</v>
      </c>
      <c r="M1424" s="1520">
        <v>1</v>
      </c>
      <c r="N1424" s="1520">
        <v>0</v>
      </c>
      <c r="O1424" s="1521">
        <v>1</v>
      </c>
    </row>
    <row r="1425" spans="3:15" ht="13.5">
      <c r="C1425" s="1526" t="s">
        <v>5383</v>
      </c>
      <c r="D1425" s="1523">
        <v>0</v>
      </c>
      <c r="E1425" s="1523">
        <v>0</v>
      </c>
      <c r="F1425" s="1524">
        <v>0</v>
      </c>
      <c r="G1425" s="1537" t="s">
        <v>5383</v>
      </c>
      <c r="H1425" s="1521">
        <v>0</v>
      </c>
      <c r="I1425" s="1521">
        <v>0</v>
      </c>
      <c r="J1425" s="1538">
        <v>0</v>
      </c>
      <c r="K1425" s="1525"/>
      <c r="L1425" s="1519">
        <v>13121011305</v>
      </c>
      <c r="M1425" s="1520">
        <v>0</v>
      </c>
      <c r="N1425" s="1520">
        <v>0</v>
      </c>
      <c r="O1425" s="1521">
        <v>0</v>
      </c>
    </row>
    <row r="1426" spans="3:15" ht="13.5">
      <c r="C1426" s="1526" t="s">
        <v>5384</v>
      </c>
      <c r="D1426" s="1523">
        <v>0</v>
      </c>
      <c r="E1426" s="1523">
        <v>0</v>
      </c>
      <c r="F1426" s="1524">
        <v>0</v>
      </c>
      <c r="G1426" s="1537" t="s">
        <v>5384</v>
      </c>
      <c r="H1426" s="1521">
        <v>0</v>
      </c>
      <c r="I1426" s="1521">
        <v>0</v>
      </c>
      <c r="J1426" s="1538">
        <v>0</v>
      </c>
      <c r="K1426" s="1525"/>
      <c r="L1426" s="1519">
        <v>13121011306</v>
      </c>
      <c r="M1426" s="1520">
        <v>0</v>
      </c>
      <c r="N1426" s="1520">
        <v>0</v>
      </c>
      <c r="O1426" s="1521">
        <v>0</v>
      </c>
    </row>
    <row r="1427" spans="3:15" ht="13.5">
      <c r="C1427" s="1526" t="s">
        <v>5385</v>
      </c>
      <c r="D1427" s="1523">
        <v>1</v>
      </c>
      <c r="E1427" s="1523">
        <v>0</v>
      </c>
      <c r="F1427" s="1524">
        <v>1</v>
      </c>
      <c r="G1427" s="1537" t="s">
        <v>5385</v>
      </c>
      <c r="H1427" s="1521">
        <v>1</v>
      </c>
      <c r="I1427" s="1521">
        <v>1</v>
      </c>
      <c r="J1427" s="1538">
        <v>2</v>
      </c>
      <c r="K1427" s="1525"/>
      <c r="L1427" s="1519">
        <v>13121011405</v>
      </c>
      <c r="M1427" s="1520">
        <v>1</v>
      </c>
      <c r="N1427" s="1520">
        <v>1</v>
      </c>
      <c r="O1427" s="1521">
        <v>2</v>
      </c>
    </row>
    <row r="1428" spans="3:15" ht="13.5">
      <c r="C1428" s="1526" t="s">
        <v>5386</v>
      </c>
      <c r="D1428" s="1523">
        <v>1</v>
      </c>
      <c r="E1428" s="1523">
        <v>1</v>
      </c>
      <c r="F1428" s="1524">
        <v>2</v>
      </c>
      <c r="G1428" s="1537" t="s">
        <v>5386</v>
      </c>
      <c r="H1428" s="1521">
        <v>1</v>
      </c>
      <c r="I1428" s="1521">
        <v>1</v>
      </c>
      <c r="J1428" s="1538">
        <v>2</v>
      </c>
      <c r="K1428" s="1525"/>
      <c r="L1428" s="1519">
        <v>13121011410</v>
      </c>
      <c r="M1428" s="1520">
        <v>1</v>
      </c>
      <c r="N1428" s="1520">
        <v>1</v>
      </c>
      <c r="O1428" s="1521">
        <v>2</v>
      </c>
    </row>
    <row r="1429" spans="3:15" ht="13.5">
      <c r="C1429" s="1526" t="s">
        <v>5387</v>
      </c>
      <c r="D1429" s="1523">
        <v>1</v>
      </c>
      <c r="E1429" s="1523">
        <v>1</v>
      </c>
      <c r="F1429" s="1524">
        <v>2</v>
      </c>
      <c r="G1429" s="1537" t="s">
        <v>5387</v>
      </c>
      <c r="H1429" s="1521">
        <v>1</v>
      </c>
      <c r="I1429" s="1521">
        <v>1</v>
      </c>
      <c r="J1429" s="1538">
        <v>2</v>
      </c>
      <c r="K1429" s="1525"/>
      <c r="L1429" s="1519">
        <v>13121011411</v>
      </c>
      <c r="M1429" s="1520">
        <v>1</v>
      </c>
      <c r="N1429" s="1520">
        <v>1</v>
      </c>
      <c r="O1429" s="1521">
        <v>2</v>
      </c>
    </row>
    <row r="1430" spans="3:15" ht="13.5">
      <c r="C1430" s="1526" t="s">
        <v>5388</v>
      </c>
      <c r="D1430" s="1523">
        <v>1</v>
      </c>
      <c r="E1430" s="1523">
        <v>1</v>
      </c>
      <c r="F1430" s="1524">
        <v>2</v>
      </c>
      <c r="G1430" s="1537" t="s">
        <v>5388</v>
      </c>
      <c r="H1430" s="1521">
        <v>1</v>
      </c>
      <c r="I1430" s="1521">
        <v>1</v>
      </c>
      <c r="J1430" s="1538">
        <v>2</v>
      </c>
      <c r="K1430" s="1525"/>
      <c r="L1430" s="1519">
        <v>13121011412</v>
      </c>
      <c r="M1430" s="1520">
        <v>1</v>
      </c>
      <c r="N1430" s="1520">
        <v>1</v>
      </c>
      <c r="O1430" s="1521">
        <v>2</v>
      </c>
    </row>
    <row r="1431" spans="3:15" ht="13.5">
      <c r="C1431" s="1526" t="s">
        <v>5389</v>
      </c>
      <c r="D1431" s="1523">
        <v>1</v>
      </c>
      <c r="E1431" s="1523">
        <v>1</v>
      </c>
      <c r="F1431" s="1524">
        <v>2</v>
      </c>
      <c r="G1431" s="1537" t="s">
        <v>5389</v>
      </c>
      <c r="H1431" s="1521">
        <v>1</v>
      </c>
      <c r="I1431" s="1521">
        <v>0</v>
      </c>
      <c r="J1431" s="1538">
        <v>1</v>
      </c>
      <c r="K1431" s="1525"/>
      <c r="L1431" s="1519">
        <v>13121011414</v>
      </c>
      <c r="M1431" s="1520">
        <v>1</v>
      </c>
      <c r="N1431" s="1520">
        <v>1</v>
      </c>
      <c r="O1431" s="1521">
        <v>2</v>
      </c>
    </row>
    <row r="1432" spans="3:15" ht="13.5">
      <c r="C1432" s="1526" t="s">
        <v>5390</v>
      </c>
      <c r="D1432" s="1523">
        <v>1</v>
      </c>
      <c r="E1432" s="1523">
        <v>1</v>
      </c>
      <c r="F1432" s="1524">
        <v>2</v>
      </c>
      <c r="G1432" s="1537" t="s">
        <v>5390</v>
      </c>
      <c r="H1432" s="1521">
        <v>1</v>
      </c>
      <c r="I1432" s="1521">
        <v>1</v>
      </c>
      <c r="J1432" s="1538">
        <v>2</v>
      </c>
      <c r="K1432" s="1525"/>
      <c r="L1432" s="1519">
        <v>13121011416</v>
      </c>
      <c r="M1432" s="1520">
        <v>1</v>
      </c>
      <c r="N1432" s="1520">
        <v>1</v>
      </c>
      <c r="O1432" s="1521">
        <v>2</v>
      </c>
    </row>
    <row r="1433" spans="3:15" ht="13.5">
      <c r="C1433" s="1526" t="s">
        <v>5391</v>
      </c>
      <c r="D1433" s="1523">
        <v>1</v>
      </c>
      <c r="E1433" s="1523">
        <v>1</v>
      </c>
      <c r="F1433" s="1524">
        <v>2</v>
      </c>
      <c r="G1433" s="1537" t="s">
        <v>5391</v>
      </c>
      <c r="H1433" s="1521">
        <v>1</v>
      </c>
      <c r="I1433" s="1521">
        <v>1</v>
      </c>
      <c r="J1433" s="1538">
        <v>2</v>
      </c>
      <c r="K1433" s="1525"/>
      <c r="L1433" s="1519">
        <v>13121011417</v>
      </c>
      <c r="M1433" s="1520">
        <v>1</v>
      </c>
      <c r="N1433" s="1520">
        <v>1</v>
      </c>
      <c r="O1433" s="1521">
        <v>2</v>
      </c>
    </row>
    <row r="1434" spans="3:15" ht="13.5">
      <c r="C1434" s="1526" t="s">
        <v>5392</v>
      </c>
      <c r="D1434" s="1523">
        <v>1</v>
      </c>
      <c r="E1434" s="1523">
        <v>1</v>
      </c>
      <c r="F1434" s="1524">
        <v>2</v>
      </c>
      <c r="G1434" s="1537" t="s">
        <v>5392</v>
      </c>
      <c r="H1434" s="1521">
        <v>1</v>
      </c>
      <c r="I1434" s="1521">
        <v>1</v>
      </c>
      <c r="J1434" s="1538">
        <v>2</v>
      </c>
      <c r="K1434" s="1525"/>
      <c r="L1434" s="1519">
        <v>13121011418</v>
      </c>
      <c r="M1434" s="1520">
        <v>1</v>
      </c>
      <c r="N1434" s="1520">
        <v>1</v>
      </c>
      <c r="O1434" s="1521">
        <v>2</v>
      </c>
    </row>
    <row r="1435" spans="3:15" ht="13.5">
      <c r="C1435" s="1526" t="s">
        <v>5393</v>
      </c>
      <c r="D1435" s="1523">
        <v>1</v>
      </c>
      <c r="E1435" s="1523">
        <v>1</v>
      </c>
      <c r="F1435" s="1524">
        <v>2</v>
      </c>
      <c r="G1435" s="1537" t="s">
        <v>5393</v>
      </c>
      <c r="H1435" s="1521">
        <v>1</v>
      </c>
      <c r="I1435" s="1521">
        <v>1</v>
      </c>
      <c r="J1435" s="1538">
        <v>2</v>
      </c>
      <c r="K1435" s="1525"/>
      <c r="L1435" s="1519">
        <v>13121011419</v>
      </c>
      <c r="M1435" s="1520">
        <v>1</v>
      </c>
      <c r="N1435" s="1520">
        <v>1</v>
      </c>
      <c r="O1435" s="1521">
        <v>2</v>
      </c>
    </row>
    <row r="1436" spans="3:15" ht="13.5">
      <c r="C1436" s="1526" t="s">
        <v>5394</v>
      </c>
      <c r="D1436" s="1523">
        <v>0</v>
      </c>
      <c r="E1436" s="1523">
        <v>0</v>
      </c>
      <c r="F1436" s="1524">
        <v>0</v>
      </c>
      <c r="G1436" s="1537" t="s">
        <v>5394</v>
      </c>
      <c r="H1436" s="1521">
        <v>0</v>
      </c>
      <c r="I1436" s="1521">
        <v>0</v>
      </c>
      <c r="J1436" s="1538">
        <v>0</v>
      </c>
      <c r="K1436" s="1525"/>
      <c r="L1436" s="1519">
        <v>13121011420</v>
      </c>
      <c r="M1436" s="1520">
        <v>0</v>
      </c>
      <c r="N1436" s="1520">
        <v>0</v>
      </c>
      <c r="O1436" s="1521">
        <v>0</v>
      </c>
    </row>
    <row r="1437" spans="3:15" ht="13.5">
      <c r="C1437" s="1526" t="s">
        <v>5395</v>
      </c>
      <c r="D1437" s="1523">
        <v>1</v>
      </c>
      <c r="E1437" s="1523">
        <v>0</v>
      </c>
      <c r="F1437" s="1524">
        <v>1</v>
      </c>
      <c r="G1437" s="1537" t="s">
        <v>5395</v>
      </c>
      <c r="H1437" s="1521">
        <v>1</v>
      </c>
      <c r="I1437" s="1521">
        <v>0</v>
      </c>
      <c r="J1437" s="1538">
        <v>1</v>
      </c>
      <c r="K1437" s="1525"/>
      <c r="L1437" s="1519">
        <v>13121011421</v>
      </c>
      <c r="M1437" s="1520">
        <v>1</v>
      </c>
      <c r="N1437" s="1520">
        <v>0</v>
      </c>
      <c r="O1437" s="1521">
        <v>1</v>
      </c>
    </row>
    <row r="1438" spans="3:15" ht="13.5">
      <c r="C1438" s="1526" t="s">
        <v>5396</v>
      </c>
      <c r="D1438" s="1523">
        <v>1</v>
      </c>
      <c r="E1438" s="1523">
        <v>1</v>
      </c>
      <c r="F1438" s="1524">
        <v>2</v>
      </c>
      <c r="G1438" s="1537" t="s">
        <v>5396</v>
      </c>
      <c r="H1438" s="1521">
        <v>1</v>
      </c>
      <c r="I1438" s="1521">
        <v>1</v>
      </c>
      <c r="J1438" s="1538">
        <v>2</v>
      </c>
      <c r="K1438" s="1525"/>
      <c r="L1438" s="1519">
        <v>13121011422</v>
      </c>
      <c r="M1438" s="1520">
        <v>1</v>
      </c>
      <c r="N1438" s="1520">
        <v>1</v>
      </c>
      <c r="O1438" s="1521">
        <v>2</v>
      </c>
    </row>
    <row r="1439" spans="3:15" ht="13.5">
      <c r="C1439" s="1526" t="s">
        <v>5397</v>
      </c>
      <c r="D1439" s="1523">
        <v>1</v>
      </c>
      <c r="E1439" s="1523">
        <v>1</v>
      </c>
      <c r="F1439" s="1524">
        <v>2</v>
      </c>
      <c r="G1439" s="1537" t="s">
        <v>5397</v>
      </c>
      <c r="H1439" s="1521">
        <v>1</v>
      </c>
      <c r="I1439" s="1521">
        <v>1</v>
      </c>
      <c r="J1439" s="1538">
        <v>2</v>
      </c>
      <c r="K1439" s="1525"/>
      <c r="L1439" s="1519">
        <v>13121011423</v>
      </c>
      <c r="M1439" s="1520">
        <v>1</v>
      </c>
      <c r="N1439" s="1520">
        <v>1</v>
      </c>
      <c r="O1439" s="1521">
        <v>2</v>
      </c>
    </row>
    <row r="1440" spans="3:15" ht="13.5">
      <c r="C1440" s="1526" t="s">
        <v>5398</v>
      </c>
      <c r="D1440" s="1523">
        <v>1</v>
      </c>
      <c r="E1440" s="1523">
        <v>1</v>
      </c>
      <c r="F1440" s="1524">
        <v>2</v>
      </c>
      <c r="G1440" s="1537" t="s">
        <v>5398</v>
      </c>
      <c r="H1440" s="1521">
        <v>1</v>
      </c>
      <c r="I1440" s="1521">
        <v>1</v>
      </c>
      <c r="J1440" s="1538">
        <v>2</v>
      </c>
      <c r="K1440" s="1525"/>
      <c r="L1440" s="1519">
        <v>13121011424</v>
      </c>
      <c r="M1440" s="1520">
        <v>1</v>
      </c>
      <c r="N1440" s="1520">
        <v>1</v>
      </c>
      <c r="O1440" s="1521">
        <v>2</v>
      </c>
    </row>
    <row r="1441" spans="3:15" ht="13.5">
      <c r="C1441" s="1526" t="s">
        <v>5399</v>
      </c>
      <c r="D1441" s="1523">
        <v>1</v>
      </c>
      <c r="E1441" s="1523">
        <v>1</v>
      </c>
      <c r="F1441" s="1524">
        <v>2</v>
      </c>
      <c r="G1441" s="1537" t="s">
        <v>5399</v>
      </c>
      <c r="H1441" s="1521">
        <v>1</v>
      </c>
      <c r="I1441" s="1521">
        <v>1</v>
      </c>
      <c r="J1441" s="1538">
        <v>2</v>
      </c>
      <c r="K1441" s="1525"/>
      <c r="L1441" s="1519">
        <v>13121011425</v>
      </c>
      <c r="M1441" s="1520">
        <v>1</v>
      </c>
      <c r="N1441" s="1520">
        <v>1</v>
      </c>
      <c r="O1441" s="1521">
        <v>2</v>
      </c>
    </row>
    <row r="1442" spans="3:15" ht="13.5">
      <c r="C1442" s="1526" t="s">
        <v>5400</v>
      </c>
      <c r="D1442" s="1523">
        <v>1</v>
      </c>
      <c r="E1442" s="1523">
        <v>1</v>
      </c>
      <c r="F1442" s="1524">
        <v>2</v>
      </c>
      <c r="G1442" s="1537" t="s">
        <v>5400</v>
      </c>
      <c r="H1442" s="1521">
        <v>1</v>
      </c>
      <c r="I1442" s="1521">
        <v>1</v>
      </c>
      <c r="J1442" s="1538">
        <v>2</v>
      </c>
      <c r="K1442" s="1525"/>
      <c r="L1442" s="1519">
        <v>13121011426</v>
      </c>
      <c r="M1442" s="1520">
        <v>1</v>
      </c>
      <c r="N1442" s="1520">
        <v>1</v>
      </c>
      <c r="O1442" s="1521">
        <v>2</v>
      </c>
    </row>
    <row r="1443" spans="3:15" ht="13.5">
      <c r="C1443" s="1526" t="s">
        <v>5401</v>
      </c>
      <c r="D1443" s="1523">
        <v>1</v>
      </c>
      <c r="E1443" s="1523">
        <v>1</v>
      </c>
      <c r="F1443" s="1524">
        <v>2</v>
      </c>
      <c r="G1443" s="1537" t="s">
        <v>5401</v>
      </c>
      <c r="H1443" s="1521">
        <v>1</v>
      </c>
      <c r="I1443" s="1521">
        <v>1</v>
      </c>
      <c r="J1443" s="1538">
        <v>2</v>
      </c>
      <c r="K1443" s="1525"/>
      <c r="L1443" s="1519">
        <v>13121011427</v>
      </c>
      <c r="M1443" s="1520">
        <v>1</v>
      </c>
      <c r="N1443" s="1520">
        <v>1</v>
      </c>
      <c r="O1443" s="1521">
        <v>2</v>
      </c>
    </row>
    <row r="1444" spans="3:15" ht="13.5">
      <c r="C1444" s="1526" t="s">
        <v>5402</v>
      </c>
      <c r="D1444" s="1523">
        <v>1</v>
      </c>
      <c r="E1444" s="1523">
        <v>1</v>
      </c>
      <c r="F1444" s="1524">
        <v>2</v>
      </c>
      <c r="G1444" s="1537" t="s">
        <v>5402</v>
      </c>
      <c r="H1444" s="1521">
        <v>1</v>
      </c>
      <c r="I1444" s="1521">
        <v>1</v>
      </c>
      <c r="J1444" s="1538">
        <v>2</v>
      </c>
      <c r="K1444" s="1525"/>
      <c r="L1444" s="1519">
        <v>13121011503</v>
      </c>
      <c r="M1444" s="1520">
        <v>1</v>
      </c>
      <c r="N1444" s="1520">
        <v>1</v>
      </c>
      <c r="O1444" s="1521">
        <v>2</v>
      </c>
    </row>
    <row r="1445" spans="3:15" ht="13.5">
      <c r="C1445" s="1526" t="s">
        <v>5403</v>
      </c>
      <c r="D1445" s="1523">
        <v>1</v>
      </c>
      <c r="E1445" s="1523">
        <v>1</v>
      </c>
      <c r="F1445" s="1524">
        <v>2</v>
      </c>
      <c r="G1445" s="1537" t="s">
        <v>5403</v>
      </c>
      <c r="H1445" s="1521">
        <v>1</v>
      </c>
      <c r="I1445" s="1521" t="s">
        <v>4096</v>
      </c>
      <c r="J1445" s="1538">
        <v>1</v>
      </c>
      <c r="K1445" s="1525"/>
      <c r="L1445" s="1519">
        <v>13121011504</v>
      </c>
      <c r="M1445" s="1520">
        <v>1</v>
      </c>
      <c r="N1445" s="1520">
        <v>1</v>
      </c>
      <c r="O1445" s="1521">
        <v>2</v>
      </c>
    </row>
    <row r="1446" spans="3:15" ht="13.5">
      <c r="C1446" s="1526" t="s">
        <v>5404</v>
      </c>
      <c r="D1446" s="1523">
        <v>1</v>
      </c>
      <c r="E1446" s="1523">
        <v>1</v>
      </c>
      <c r="F1446" s="1524">
        <v>2</v>
      </c>
      <c r="G1446" s="1537" t="s">
        <v>5404</v>
      </c>
      <c r="H1446" s="1521">
        <v>1</v>
      </c>
      <c r="I1446" s="1521">
        <v>1</v>
      </c>
      <c r="J1446" s="1538">
        <v>2</v>
      </c>
      <c r="K1446" s="1525"/>
      <c r="L1446" s="1519">
        <v>13121011505</v>
      </c>
      <c r="M1446" s="1520">
        <v>1</v>
      </c>
      <c r="N1446" s="1520">
        <v>1</v>
      </c>
      <c r="O1446" s="1521">
        <v>2</v>
      </c>
    </row>
    <row r="1447" spans="3:15" ht="13.5">
      <c r="C1447" s="1526" t="s">
        <v>5405</v>
      </c>
      <c r="D1447" s="1523">
        <v>1</v>
      </c>
      <c r="E1447" s="1523">
        <v>1</v>
      </c>
      <c r="F1447" s="1524">
        <v>2</v>
      </c>
      <c r="G1447" s="1537" t="s">
        <v>5405</v>
      </c>
      <c r="H1447" s="1521">
        <v>1</v>
      </c>
      <c r="I1447" s="1521">
        <v>1</v>
      </c>
      <c r="J1447" s="1538">
        <v>2</v>
      </c>
      <c r="K1447" s="1525"/>
      <c r="L1447" s="1519">
        <v>13121011506</v>
      </c>
      <c r="M1447" s="1520">
        <v>1</v>
      </c>
      <c r="N1447" s="1520">
        <v>1</v>
      </c>
      <c r="O1447" s="1521">
        <v>2</v>
      </c>
    </row>
    <row r="1448" spans="3:15" ht="13.5">
      <c r="C1448" s="1526" t="s">
        <v>5406</v>
      </c>
      <c r="D1448" s="1523">
        <v>1</v>
      </c>
      <c r="E1448" s="1523">
        <v>1</v>
      </c>
      <c r="F1448" s="1524">
        <v>2</v>
      </c>
      <c r="G1448" s="1537" t="s">
        <v>5406</v>
      </c>
      <c r="H1448" s="1521">
        <v>1</v>
      </c>
      <c r="I1448" s="1521">
        <v>1</v>
      </c>
      <c r="J1448" s="1538">
        <v>2</v>
      </c>
      <c r="K1448" s="1525"/>
      <c r="L1448" s="1519">
        <v>13121011610</v>
      </c>
      <c r="M1448" s="1520">
        <v>1</v>
      </c>
      <c r="N1448" s="1520">
        <v>1</v>
      </c>
      <c r="O1448" s="1521">
        <v>2</v>
      </c>
    </row>
    <row r="1449" spans="3:15" ht="13.5">
      <c r="C1449" s="1526" t="s">
        <v>5407</v>
      </c>
      <c r="D1449" s="1523">
        <v>1</v>
      </c>
      <c r="E1449" s="1523">
        <v>0</v>
      </c>
      <c r="F1449" s="1524">
        <v>1</v>
      </c>
      <c r="G1449" s="1537" t="s">
        <v>5407</v>
      </c>
      <c r="H1449" s="1521">
        <v>1</v>
      </c>
      <c r="I1449" s="1521">
        <v>1</v>
      </c>
      <c r="J1449" s="1538">
        <v>2</v>
      </c>
      <c r="K1449" s="1525"/>
      <c r="L1449" s="1519">
        <v>13121011611</v>
      </c>
      <c r="M1449" s="1520">
        <v>1</v>
      </c>
      <c r="N1449" s="1520">
        <v>1</v>
      </c>
      <c r="O1449" s="1521">
        <v>2</v>
      </c>
    </row>
    <row r="1450" spans="3:15" ht="13.5">
      <c r="C1450" s="1526" t="s">
        <v>5408</v>
      </c>
      <c r="D1450" s="1523">
        <v>1</v>
      </c>
      <c r="E1450" s="1523">
        <v>1</v>
      </c>
      <c r="F1450" s="1524">
        <v>2</v>
      </c>
      <c r="G1450" s="1537" t="s">
        <v>5408</v>
      </c>
      <c r="H1450" s="1521">
        <v>1</v>
      </c>
      <c r="I1450" s="1521" t="s">
        <v>4096</v>
      </c>
      <c r="J1450" s="1538">
        <v>1</v>
      </c>
      <c r="K1450" s="1525"/>
      <c r="L1450" s="1519">
        <v>13121011612</v>
      </c>
      <c r="M1450" s="1520">
        <v>1</v>
      </c>
      <c r="N1450" s="1520">
        <v>1</v>
      </c>
      <c r="O1450" s="1521">
        <v>2</v>
      </c>
    </row>
    <row r="1451" spans="3:15" ht="13.5">
      <c r="C1451" s="1526" t="s">
        <v>5409</v>
      </c>
      <c r="D1451" s="1523">
        <v>1</v>
      </c>
      <c r="E1451" s="1523">
        <v>1</v>
      </c>
      <c r="F1451" s="1524">
        <v>2</v>
      </c>
      <c r="G1451" s="1537" t="s">
        <v>5409</v>
      </c>
      <c r="H1451" s="1521">
        <v>1</v>
      </c>
      <c r="I1451" s="1521">
        <v>1</v>
      </c>
      <c r="J1451" s="1538">
        <v>2</v>
      </c>
      <c r="K1451" s="1525"/>
      <c r="L1451" s="1519">
        <v>13121011613</v>
      </c>
      <c r="M1451" s="1520">
        <v>1</v>
      </c>
      <c r="N1451" s="1520">
        <v>1</v>
      </c>
      <c r="O1451" s="1521">
        <v>2</v>
      </c>
    </row>
    <row r="1452" spans="3:15" ht="13.5">
      <c r="C1452" s="1526" t="s">
        <v>5410</v>
      </c>
      <c r="D1452" s="1523">
        <v>1</v>
      </c>
      <c r="E1452" s="1523">
        <v>1</v>
      </c>
      <c r="F1452" s="1524">
        <v>2</v>
      </c>
      <c r="G1452" s="1537" t="s">
        <v>5410</v>
      </c>
      <c r="H1452" s="1521">
        <v>1</v>
      </c>
      <c r="I1452" s="1521">
        <v>1</v>
      </c>
      <c r="J1452" s="1538">
        <v>2</v>
      </c>
      <c r="K1452" s="1525"/>
      <c r="L1452" s="1519">
        <v>13121011614</v>
      </c>
      <c r="M1452" s="1520">
        <v>1</v>
      </c>
      <c r="N1452" s="1520">
        <v>1</v>
      </c>
      <c r="O1452" s="1521">
        <v>2</v>
      </c>
    </row>
    <row r="1453" spans="3:15" ht="13.5">
      <c r="C1453" s="1526" t="s">
        <v>5411</v>
      </c>
      <c r="D1453" s="1523">
        <v>1</v>
      </c>
      <c r="E1453" s="1523">
        <v>1</v>
      </c>
      <c r="F1453" s="1524">
        <v>2</v>
      </c>
      <c r="G1453" s="1537" t="s">
        <v>5411</v>
      </c>
      <c r="H1453" s="1521">
        <v>1</v>
      </c>
      <c r="I1453" s="1521">
        <v>1</v>
      </c>
      <c r="J1453" s="1538">
        <v>2</v>
      </c>
      <c r="K1453" s="1525"/>
      <c r="L1453" s="1519">
        <v>13121011615</v>
      </c>
      <c r="M1453" s="1520">
        <v>1</v>
      </c>
      <c r="N1453" s="1520">
        <v>1</v>
      </c>
      <c r="O1453" s="1521">
        <v>2</v>
      </c>
    </row>
    <row r="1454" spans="3:15" ht="13.5">
      <c r="C1454" s="1526" t="s">
        <v>5412</v>
      </c>
      <c r="D1454" s="1523">
        <v>1</v>
      </c>
      <c r="E1454" s="1523">
        <v>1</v>
      </c>
      <c r="F1454" s="1524">
        <v>2</v>
      </c>
      <c r="G1454" s="1537" t="s">
        <v>5412</v>
      </c>
      <c r="H1454" s="1521">
        <v>1</v>
      </c>
      <c r="I1454" s="1521">
        <v>1</v>
      </c>
      <c r="J1454" s="1538">
        <v>2</v>
      </c>
      <c r="K1454" s="1525"/>
      <c r="L1454" s="1519">
        <v>13121011616</v>
      </c>
      <c r="M1454" s="1520">
        <v>1</v>
      </c>
      <c r="N1454" s="1520">
        <v>1</v>
      </c>
      <c r="O1454" s="1521">
        <v>2</v>
      </c>
    </row>
    <row r="1455" spans="3:15" ht="13.5">
      <c r="C1455" s="1526" t="s">
        <v>5413</v>
      </c>
      <c r="D1455" s="1523">
        <v>1</v>
      </c>
      <c r="E1455" s="1523">
        <v>1</v>
      </c>
      <c r="F1455" s="1524">
        <v>2</v>
      </c>
      <c r="G1455" s="1537" t="s">
        <v>5413</v>
      </c>
      <c r="H1455" s="1521">
        <v>1</v>
      </c>
      <c r="I1455" s="1521">
        <v>1</v>
      </c>
      <c r="J1455" s="1538">
        <v>2</v>
      </c>
      <c r="K1455" s="1525"/>
      <c r="L1455" s="1519">
        <v>13121011617</v>
      </c>
      <c r="M1455" s="1520">
        <v>1</v>
      </c>
      <c r="N1455" s="1520">
        <v>1</v>
      </c>
      <c r="O1455" s="1521">
        <v>2</v>
      </c>
    </row>
    <row r="1456" spans="3:15" ht="13.5">
      <c r="C1456" s="1526" t="s">
        <v>5414</v>
      </c>
      <c r="D1456" s="1523">
        <v>1</v>
      </c>
      <c r="E1456" s="1523">
        <v>1</v>
      </c>
      <c r="F1456" s="1524">
        <v>2</v>
      </c>
      <c r="G1456" s="1537" t="s">
        <v>5414</v>
      </c>
      <c r="H1456" s="1521">
        <v>1</v>
      </c>
      <c r="I1456" s="1521">
        <v>1</v>
      </c>
      <c r="J1456" s="1538">
        <v>2</v>
      </c>
      <c r="K1456" s="1525"/>
      <c r="L1456" s="1519">
        <v>13121011618</v>
      </c>
      <c r="M1456" s="1520">
        <v>1</v>
      </c>
      <c r="N1456" s="1520">
        <v>1</v>
      </c>
      <c r="O1456" s="1521">
        <v>2</v>
      </c>
    </row>
    <row r="1457" spans="3:15" ht="13.5">
      <c r="C1457" s="1526" t="s">
        <v>5415</v>
      </c>
      <c r="D1457" s="1523">
        <v>1</v>
      </c>
      <c r="E1457" s="1523">
        <v>1</v>
      </c>
      <c r="F1457" s="1524">
        <v>2</v>
      </c>
      <c r="G1457" s="1537" t="s">
        <v>5415</v>
      </c>
      <c r="H1457" s="1521">
        <v>1</v>
      </c>
      <c r="I1457" s="1521">
        <v>1</v>
      </c>
      <c r="J1457" s="1538">
        <v>2</v>
      </c>
      <c r="K1457" s="1525"/>
      <c r="L1457" s="1519">
        <v>13121011619</v>
      </c>
      <c r="M1457" s="1520">
        <v>1</v>
      </c>
      <c r="N1457" s="1520">
        <v>1</v>
      </c>
      <c r="O1457" s="1521">
        <v>2</v>
      </c>
    </row>
    <row r="1458" spans="3:15" ht="13.5">
      <c r="C1458" s="1526" t="s">
        <v>5416</v>
      </c>
      <c r="D1458" s="1523">
        <v>1</v>
      </c>
      <c r="E1458" s="1523">
        <v>1</v>
      </c>
      <c r="F1458" s="1524">
        <v>2</v>
      </c>
      <c r="G1458" s="1537" t="s">
        <v>5416</v>
      </c>
      <c r="H1458" s="1521">
        <v>1</v>
      </c>
      <c r="I1458" s="1521">
        <v>1</v>
      </c>
      <c r="J1458" s="1538">
        <v>2</v>
      </c>
      <c r="K1458" s="1525"/>
      <c r="L1458" s="1519">
        <v>13121011620</v>
      </c>
      <c r="M1458" s="1520">
        <v>1</v>
      </c>
      <c r="N1458" s="1520">
        <v>1</v>
      </c>
      <c r="O1458" s="1521">
        <v>2</v>
      </c>
    </row>
    <row r="1459" spans="3:15" ht="13.5">
      <c r="C1459" s="1526" t="s">
        <v>5417</v>
      </c>
      <c r="D1459" s="1523">
        <v>1</v>
      </c>
      <c r="E1459" s="1523">
        <v>1</v>
      </c>
      <c r="F1459" s="1524">
        <v>2</v>
      </c>
      <c r="G1459" s="1537" t="s">
        <v>5417</v>
      </c>
      <c r="H1459" s="1521">
        <v>1</v>
      </c>
      <c r="I1459" s="1521">
        <v>1</v>
      </c>
      <c r="J1459" s="1538">
        <v>2</v>
      </c>
      <c r="K1459" s="1525"/>
      <c r="L1459" s="1519">
        <v>13121011621</v>
      </c>
      <c r="M1459" s="1520">
        <v>1</v>
      </c>
      <c r="N1459" s="1520">
        <v>1</v>
      </c>
      <c r="O1459" s="1521">
        <v>2</v>
      </c>
    </row>
    <row r="1460" spans="3:15" ht="13.5">
      <c r="C1460" s="1526" t="s">
        <v>5418</v>
      </c>
      <c r="D1460" s="1523">
        <v>1</v>
      </c>
      <c r="E1460" s="1523">
        <v>1</v>
      </c>
      <c r="F1460" s="1524">
        <v>2</v>
      </c>
      <c r="G1460" s="1537" t="s">
        <v>5418</v>
      </c>
      <c r="H1460" s="1521">
        <v>1</v>
      </c>
      <c r="I1460" s="1521">
        <v>1</v>
      </c>
      <c r="J1460" s="1538">
        <v>2</v>
      </c>
      <c r="K1460" s="1525"/>
      <c r="L1460" s="1519">
        <v>13121011622</v>
      </c>
      <c r="M1460" s="1520">
        <v>1</v>
      </c>
      <c r="N1460" s="1520">
        <v>1</v>
      </c>
      <c r="O1460" s="1521">
        <v>2</v>
      </c>
    </row>
    <row r="1461" spans="3:15" ht="13.5">
      <c r="C1461" s="1526" t="s">
        <v>5419</v>
      </c>
      <c r="D1461" s="1523">
        <v>1</v>
      </c>
      <c r="E1461" s="1523">
        <v>1</v>
      </c>
      <c r="F1461" s="1524">
        <v>2</v>
      </c>
      <c r="G1461" s="1537" t="s">
        <v>5419</v>
      </c>
      <c r="H1461" s="1521">
        <v>1</v>
      </c>
      <c r="I1461" s="1521">
        <v>1</v>
      </c>
      <c r="J1461" s="1538">
        <v>2</v>
      </c>
      <c r="K1461" s="1525"/>
      <c r="L1461" s="1519">
        <v>13121011623</v>
      </c>
      <c r="M1461" s="1520">
        <v>1</v>
      </c>
      <c r="N1461" s="1520">
        <v>1</v>
      </c>
      <c r="O1461" s="1521">
        <v>2</v>
      </c>
    </row>
    <row r="1462" spans="3:15" ht="13.5">
      <c r="C1462" s="1526" t="s">
        <v>5420</v>
      </c>
      <c r="D1462" s="1523">
        <v>1</v>
      </c>
      <c r="E1462" s="1523">
        <v>1</v>
      </c>
      <c r="F1462" s="1524">
        <v>2</v>
      </c>
      <c r="G1462" s="1537" t="s">
        <v>5420</v>
      </c>
      <c r="H1462" s="1521">
        <v>1</v>
      </c>
      <c r="I1462" s="1521" t="s">
        <v>4096</v>
      </c>
      <c r="J1462" s="1538">
        <v>1</v>
      </c>
      <c r="K1462" s="1525"/>
      <c r="L1462" s="1519">
        <v>13121011624</v>
      </c>
      <c r="M1462" s="1520">
        <v>1</v>
      </c>
      <c r="N1462" s="1520">
        <v>1</v>
      </c>
      <c r="O1462" s="1521">
        <v>2</v>
      </c>
    </row>
    <row r="1463" spans="3:15" ht="13.5">
      <c r="C1463" s="1526" t="s">
        <v>5421</v>
      </c>
      <c r="D1463" s="1523">
        <v>1</v>
      </c>
      <c r="E1463" s="1523">
        <v>1</v>
      </c>
      <c r="F1463" s="1524">
        <v>2</v>
      </c>
      <c r="G1463" s="1537" t="s">
        <v>5421</v>
      </c>
      <c r="H1463" s="1521">
        <v>1</v>
      </c>
      <c r="I1463" s="1521">
        <v>1</v>
      </c>
      <c r="J1463" s="1538">
        <v>2</v>
      </c>
      <c r="K1463" s="1525"/>
      <c r="L1463" s="1519">
        <v>13121011625</v>
      </c>
      <c r="M1463" s="1520">
        <v>1</v>
      </c>
      <c r="N1463" s="1520">
        <v>1</v>
      </c>
      <c r="O1463" s="1521">
        <v>2</v>
      </c>
    </row>
    <row r="1464" spans="3:15" ht="13.5">
      <c r="C1464" s="1526" t="s">
        <v>5422</v>
      </c>
      <c r="D1464" s="1523">
        <v>1</v>
      </c>
      <c r="E1464" s="1523">
        <v>1</v>
      </c>
      <c r="F1464" s="1524">
        <v>2</v>
      </c>
      <c r="G1464" s="1537" t="s">
        <v>5422</v>
      </c>
      <c r="H1464" s="1521">
        <v>1</v>
      </c>
      <c r="I1464" s="1521">
        <v>1</v>
      </c>
      <c r="J1464" s="1538">
        <v>2</v>
      </c>
      <c r="K1464" s="1525"/>
      <c r="L1464" s="1519">
        <v>13121011626</v>
      </c>
      <c r="M1464" s="1520">
        <v>1</v>
      </c>
      <c r="N1464" s="1520">
        <v>1</v>
      </c>
      <c r="O1464" s="1521">
        <v>2</v>
      </c>
    </row>
    <row r="1465" spans="3:15" ht="13.5">
      <c r="C1465" s="1526" t="s">
        <v>5423</v>
      </c>
      <c r="D1465" s="1523">
        <v>0</v>
      </c>
      <c r="E1465" s="1523">
        <v>0</v>
      </c>
      <c r="F1465" s="1524">
        <v>0</v>
      </c>
      <c r="G1465" s="1537" t="s">
        <v>5423</v>
      </c>
      <c r="H1465" s="1521">
        <v>0</v>
      </c>
      <c r="I1465" s="1521">
        <v>0</v>
      </c>
      <c r="J1465" s="1538">
        <v>0</v>
      </c>
      <c r="K1465" s="1525"/>
      <c r="L1465" s="1519">
        <v>13121011800</v>
      </c>
      <c r="M1465" s="1520">
        <v>0</v>
      </c>
      <c r="N1465" s="1520">
        <v>0</v>
      </c>
      <c r="O1465" s="1521">
        <v>0</v>
      </c>
    </row>
    <row r="1466" spans="3:15" ht="13.5">
      <c r="C1466" s="1526" t="s">
        <v>5424</v>
      </c>
      <c r="D1466" s="1523">
        <v>0</v>
      </c>
      <c r="E1466" s="1523">
        <v>0</v>
      </c>
      <c r="F1466" s="1524">
        <v>0</v>
      </c>
      <c r="G1466" s="1537" t="s">
        <v>5424</v>
      </c>
      <c r="H1466" s="1521">
        <v>0</v>
      </c>
      <c r="I1466" s="1521" t="s">
        <v>4096</v>
      </c>
      <c r="J1466" s="1538">
        <v>0</v>
      </c>
      <c r="K1466" s="1525"/>
      <c r="L1466" s="1519">
        <v>13121011900</v>
      </c>
      <c r="M1466" s="1520">
        <v>0</v>
      </c>
      <c r="N1466" s="1520">
        <v>0</v>
      </c>
      <c r="O1466" s="1521">
        <v>0</v>
      </c>
    </row>
    <row r="1467" spans="3:15" ht="13.5">
      <c r="C1467" s="1526" t="s">
        <v>5425</v>
      </c>
      <c r="D1467" s="1523">
        <v>0</v>
      </c>
      <c r="E1467" s="1523">
        <v>0</v>
      </c>
      <c r="F1467" s="1524">
        <v>0</v>
      </c>
      <c r="G1467" s="1537" t="s">
        <v>5425</v>
      </c>
      <c r="H1467" s="1521">
        <v>0</v>
      </c>
      <c r="I1467" s="1521">
        <v>0</v>
      </c>
      <c r="J1467" s="1538">
        <v>0</v>
      </c>
      <c r="K1467" s="1525"/>
      <c r="L1467" s="1519">
        <v>13121012000</v>
      </c>
      <c r="M1467" s="1520">
        <v>0</v>
      </c>
      <c r="N1467" s="1520">
        <v>0</v>
      </c>
      <c r="O1467" s="1521">
        <v>0</v>
      </c>
    </row>
    <row r="1468" spans="3:15" ht="13.5">
      <c r="C1468" s="1526" t="s">
        <v>5426</v>
      </c>
      <c r="D1468" s="1523">
        <v>1</v>
      </c>
      <c r="E1468" s="1523">
        <v>0</v>
      </c>
      <c r="F1468" s="1524">
        <v>1</v>
      </c>
      <c r="G1468" s="1537" t="s">
        <v>5426</v>
      </c>
      <c r="H1468" s="1521">
        <v>1</v>
      </c>
      <c r="I1468" s="1521">
        <v>0</v>
      </c>
      <c r="J1468" s="1538">
        <v>1</v>
      </c>
      <c r="K1468" s="1525"/>
      <c r="L1468" s="1519">
        <v>13121012300</v>
      </c>
      <c r="M1468" s="1520">
        <v>1</v>
      </c>
      <c r="N1468" s="1520">
        <v>0</v>
      </c>
      <c r="O1468" s="1521">
        <v>1</v>
      </c>
    </row>
    <row r="1469" spans="3:15" ht="13.5">
      <c r="C1469" s="1526" t="s">
        <v>5427</v>
      </c>
      <c r="D1469" s="1523" t="s">
        <v>4096</v>
      </c>
      <c r="E1469" s="1523" t="s">
        <v>4096</v>
      </c>
      <c r="F1469" s="1524">
        <v>0</v>
      </c>
      <c r="G1469" s="1537" t="s">
        <v>5427</v>
      </c>
      <c r="H1469" s="1521" t="s">
        <v>4096</v>
      </c>
      <c r="I1469" s="1521" t="s">
        <v>4096</v>
      </c>
      <c r="J1469" s="1538">
        <v>0</v>
      </c>
      <c r="K1469" s="1525"/>
      <c r="L1469" s="1519">
        <v>13121980000</v>
      </c>
      <c r="M1469" s="1520">
        <v>0</v>
      </c>
      <c r="N1469" s="1520">
        <v>0</v>
      </c>
      <c r="O1469" s="1521">
        <v>0</v>
      </c>
    </row>
    <row r="1470" spans="3:15" ht="13.5">
      <c r="C1470" s="1526" t="s">
        <v>5428</v>
      </c>
      <c r="D1470" s="1523">
        <v>0</v>
      </c>
      <c r="E1470" s="1523">
        <v>0</v>
      </c>
      <c r="F1470" s="1524">
        <v>0</v>
      </c>
      <c r="G1470" s="1537" t="s">
        <v>5428</v>
      </c>
      <c r="H1470" s="1521">
        <v>0</v>
      </c>
      <c r="I1470" s="1521">
        <v>1</v>
      </c>
      <c r="J1470" s="1538">
        <v>1</v>
      </c>
      <c r="K1470" s="1525"/>
      <c r="L1470" s="1519">
        <v>13123080100</v>
      </c>
      <c r="M1470" s="1520">
        <v>0</v>
      </c>
      <c r="N1470" s="1520">
        <v>1</v>
      </c>
      <c r="O1470" s="1521">
        <v>1</v>
      </c>
    </row>
    <row r="1471" spans="3:15" ht="13.5">
      <c r="C1471" s="1526" t="s">
        <v>5429</v>
      </c>
      <c r="D1471" s="1523">
        <v>0</v>
      </c>
      <c r="E1471" s="1523">
        <v>0</v>
      </c>
      <c r="F1471" s="1524">
        <v>0</v>
      </c>
      <c r="G1471" s="1537" t="s">
        <v>5429</v>
      </c>
      <c r="H1471" s="1521">
        <v>0</v>
      </c>
      <c r="I1471" s="1521">
        <v>0</v>
      </c>
      <c r="J1471" s="1538">
        <v>0</v>
      </c>
      <c r="K1471" s="1525"/>
      <c r="L1471" s="1519">
        <v>13123080200</v>
      </c>
      <c r="M1471" s="1520">
        <v>0</v>
      </c>
      <c r="N1471" s="1520">
        <v>0</v>
      </c>
      <c r="O1471" s="1521">
        <v>0</v>
      </c>
    </row>
    <row r="1472" spans="3:15" ht="13.5">
      <c r="C1472" s="1526" t="s">
        <v>5430</v>
      </c>
      <c r="D1472" s="1523">
        <v>0</v>
      </c>
      <c r="E1472" s="1523">
        <v>0</v>
      </c>
      <c r="F1472" s="1524">
        <v>0</v>
      </c>
      <c r="G1472" s="1537" t="s">
        <v>5430</v>
      </c>
      <c r="H1472" s="1521">
        <v>0</v>
      </c>
      <c r="I1472" s="1521">
        <v>0</v>
      </c>
      <c r="J1472" s="1538">
        <v>0</v>
      </c>
      <c r="K1472" s="1525"/>
      <c r="L1472" s="1519">
        <v>13123080300</v>
      </c>
      <c r="M1472" s="1520">
        <v>0</v>
      </c>
      <c r="N1472" s="1520">
        <v>0</v>
      </c>
      <c r="O1472" s="1521">
        <v>0</v>
      </c>
    </row>
    <row r="1473" spans="3:15" ht="13.5">
      <c r="C1473" s="1526" t="s">
        <v>5431</v>
      </c>
      <c r="D1473" s="1523">
        <v>0</v>
      </c>
      <c r="E1473" s="1523">
        <v>0</v>
      </c>
      <c r="F1473" s="1524">
        <v>0</v>
      </c>
      <c r="G1473" s="1537" t="s">
        <v>5431</v>
      </c>
      <c r="H1473" s="1521">
        <v>0</v>
      </c>
      <c r="I1473" s="1521">
        <v>0</v>
      </c>
      <c r="J1473" s="1538">
        <v>0</v>
      </c>
      <c r="K1473" s="1525"/>
      <c r="L1473" s="1519">
        <v>13123080400</v>
      </c>
      <c r="M1473" s="1520">
        <v>0</v>
      </c>
      <c r="N1473" s="1520">
        <v>0</v>
      </c>
      <c r="O1473" s="1521">
        <v>0</v>
      </c>
    </row>
    <row r="1474" spans="3:15" ht="13.5">
      <c r="C1474" s="1526" t="s">
        <v>5432</v>
      </c>
      <c r="D1474" s="1523">
        <v>0</v>
      </c>
      <c r="E1474" s="1523">
        <v>0</v>
      </c>
      <c r="F1474" s="1524">
        <v>0</v>
      </c>
      <c r="G1474" s="1537" t="s">
        <v>5432</v>
      </c>
      <c r="H1474" s="1521">
        <v>0</v>
      </c>
      <c r="I1474" s="1521">
        <v>1</v>
      </c>
      <c r="J1474" s="1538">
        <v>1</v>
      </c>
      <c r="K1474" s="1525"/>
      <c r="L1474" s="1519">
        <v>13123080500</v>
      </c>
      <c r="M1474" s="1520">
        <v>0</v>
      </c>
      <c r="N1474" s="1520">
        <v>1</v>
      </c>
      <c r="O1474" s="1521">
        <v>1</v>
      </c>
    </row>
    <row r="1475" spans="3:15" ht="13.5">
      <c r="C1475" s="1526" t="s">
        <v>5433</v>
      </c>
      <c r="D1475" s="1523">
        <v>0</v>
      </c>
      <c r="E1475" s="1523">
        <v>0</v>
      </c>
      <c r="F1475" s="1524">
        <v>0</v>
      </c>
      <c r="G1475" s="1537" t="s">
        <v>5433</v>
      </c>
      <c r="H1475" s="1521">
        <v>0</v>
      </c>
      <c r="I1475" s="1521">
        <v>1</v>
      </c>
      <c r="J1475" s="1538">
        <v>1</v>
      </c>
      <c r="K1475" s="1525"/>
      <c r="L1475" s="1519">
        <v>13125010100</v>
      </c>
      <c r="M1475" s="1520">
        <v>0</v>
      </c>
      <c r="N1475" s="1520">
        <v>1</v>
      </c>
      <c r="O1475" s="1521">
        <v>1</v>
      </c>
    </row>
    <row r="1476" spans="3:15" ht="13.5">
      <c r="C1476" s="1526" t="s">
        <v>5434</v>
      </c>
      <c r="D1476" s="1523">
        <v>1</v>
      </c>
      <c r="E1476" s="1523">
        <v>1</v>
      </c>
      <c r="F1476" s="1524">
        <v>2</v>
      </c>
      <c r="G1476" s="1537" t="s">
        <v>5434</v>
      </c>
      <c r="H1476" s="1521">
        <v>1</v>
      </c>
      <c r="I1476" s="1521">
        <v>1</v>
      </c>
      <c r="J1476" s="1538">
        <v>2</v>
      </c>
      <c r="K1476" s="1525"/>
      <c r="L1476" s="1519">
        <v>13127000101</v>
      </c>
      <c r="M1476" s="1520">
        <v>1</v>
      </c>
      <c r="N1476" s="1520">
        <v>1</v>
      </c>
      <c r="O1476" s="1521">
        <v>2</v>
      </c>
    </row>
    <row r="1477" spans="3:15" ht="13.5">
      <c r="C1477" s="1526" t="s">
        <v>5435</v>
      </c>
      <c r="D1477" s="1523">
        <v>1</v>
      </c>
      <c r="E1477" s="1523">
        <v>1</v>
      </c>
      <c r="F1477" s="1524">
        <v>2</v>
      </c>
      <c r="G1477" s="1537" t="s">
        <v>5435</v>
      </c>
      <c r="H1477" s="1521">
        <v>1</v>
      </c>
      <c r="I1477" s="1521">
        <v>1</v>
      </c>
      <c r="J1477" s="1538">
        <v>2</v>
      </c>
      <c r="K1477" s="1525"/>
      <c r="L1477" s="1519">
        <v>13127000102</v>
      </c>
      <c r="M1477" s="1520">
        <v>1</v>
      </c>
      <c r="N1477" s="1520">
        <v>1</v>
      </c>
      <c r="O1477" s="1521">
        <v>2</v>
      </c>
    </row>
    <row r="1478" spans="3:15" ht="13.5">
      <c r="C1478" s="1526" t="s">
        <v>5436</v>
      </c>
      <c r="D1478" s="1523">
        <v>1</v>
      </c>
      <c r="E1478" s="1523">
        <v>1</v>
      </c>
      <c r="F1478" s="1524">
        <v>2</v>
      </c>
      <c r="G1478" s="1537" t="s">
        <v>5436</v>
      </c>
      <c r="H1478" s="1521">
        <v>1</v>
      </c>
      <c r="I1478" s="1521">
        <v>1</v>
      </c>
      <c r="J1478" s="1538">
        <v>2</v>
      </c>
      <c r="K1478" s="1525"/>
      <c r="L1478" s="1519">
        <v>13127000200</v>
      </c>
      <c r="M1478" s="1520">
        <v>1</v>
      </c>
      <c r="N1478" s="1520">
        <v>1</v>
      </c>
      <c r="O1478" s="1521">
        <v>2</v>
      </c>
    </row>
    <row r="1479" spans="3:15" ht="13.5">
      <c r="C1479" s="1526" t="s">
        <v>5437</v>
      </c>
      <c r="D1479" s="1523">
        <v>1</v>
      </c>
      <c r="E1479" s="1523">
        <v>1</v>
      </c>
      <c r="F1479" s="1524">
        <v>2</v>
      </c>
      <c r="G1479" s="1537" t="s">
        <v>5437</v>
      </c>
      <c r="H1479" s="1521">
        <v>1</v>
      </c>
      <c r="I1479" s="1521">
        <v>1</v>
      </c>
      <c r="J1479" s="1538">
        <v>2</v>
      </c>
      <c r="K1479" s="1525"/>
      <c r="L1479" s="1519">
        <v>13127000300</v>
      </c>
      <c r="M1479" s="1520">
        <v>1</v>
      </c>
      <c r="N1479" s="1520">
        <v>1</v>
      </c>
      <c r="O1479" s="1521">
        <v>2</v>
      </c>
    </row>
    <row r="1480" spans="3:15" ht="13.5">
      <c r="C1480" s="1526" t="s">
        <v>5438</v>
      </c>
      <c r="D1480" s="1523">
        <v>1</v>
      </c>
      <c r="E1480" s="1523">
        <v>0</v>
      </c>
      <c r="F1480" s="1524">
        <v>1</v>
      </c>
      <c r="G1480" s="1537" t="s">
        <v>5438</v>
      </c>
      <c r="H1480" s="1521">
        <v>0</v>
      </c>
      <c r="I1480" s="1521">
        <v>0</v>
      </c>
      <c r="J1480" s="1538">
        <v>0</v>
      </c>
      <c r="K1480" s="1525"/>
      <c r="L1480" s="1519">
        <v>13127000401</v>
      </c>
      <c r="M1480" s="1520">
        <v>1</v>
      </c>
      <c r="N1480" s="1520">
        <v>0</v>
      </c>
      <c r="O1480" s="1521">
        <v>1</v>
      </c>
    </row>
    <row r="1481" spans="3:15" ht="13.5">
      <c r="C1481" s="1526" t="s">
        <v>5439</v>
      </c>
      <c r="D1481" s="1523">
        <v>0</v>
      </c>
      <c r="E1481" s="1523">
        <v>1</v>
      </c>
      <c r="F1481" s="1524">
        <v>1</v>
      </c>
      <c r="G1481" s="1537" t="s">
        <v>5439</v>
      </c>
      <c r="H1481" s="1521">
        <v>0</v>
      </c>
      <c r="I1481" s="1521">
        <v>1</v>
      </c>
      <c r="J1481" s="1538">
        <v>1</v>
      </c>
      <c r="K1481" s="1525"/>
      <c r="L1481" s="1519">
        <v>13127000403</v>
      </c>
      <c r="M1481" s="1520">
        <v>0</v>
      </c>
      <c r="N1481" s="1520">
        <v>1</v>
      </c>
      <c r="O1481" s="1521">
        <v>1</v>
      </c>
    </row>
    <row r="1482" spans="3:15" ht="13.5">
      <c r="C1482" s="1526" t="s">
        <v>5440</v>
      </c>
      <c r="D1482" s="1523">
        <v>0</v>
      </c>
      <c r="E1482" s="1523">
        <v>1</v>
      </c>
      <c r="F1482" s="1524">
        <v>1</v>
      </c>
      <c r="G1482" s="1537" t="s">
        <v>5440</v>
      </c>
      <c r="H1482" s="1521">
        <v>0</v>
      </c>
      <c r="I1482" s="1521">
        <v>1</v>
      </c>
      <c r="J1482" s="1538">
        <v>1</v>
      </c>
      <c r="K1482" s="1525"/>
      <c r="L1482" s="1519">
        <v>13127000404</v>
      </c>
      <c r="M1482" s="1520">
        <v>0</v>
      </c>
      <c r="N1482" s="1520">
        <v>1</v>
      </c>
      <c r="O1482" s="1521">
        <v>1</v>
      </c>
    </row>
    <row r="1483" spans="3:15" ht="13.5">
      <c r="C1483" s="1526" t="s">
        <v>5441</v>
      </c>
      <c r="D1483" s="1523">
        <v>0</v>
      </c>
      <c r="E1483" s="1523">
        <v>0</v>
      </c>
      <c r="F1483" s="1524">
        <v>0</v>
      </c>
      <c r="G1483" s="1537" t="s">
        <v>5441</v>
      </c>
      <c r="H1483" s="1521">
        <v>0</v>
      </c>
      <c r="I1483" s="1521">
        <v>0</v>
      </c>
      <c r="J1483" s="1538">
        <v>0</v>
      </c>
      <c r="K1483" s="1525"/>
      <c r="L1483" s="1519">
        <v>13127000501</v>
      </c>
      <c r="M1483" s="1520">
        <v>0</v>
      </c>
      <c r="N1483" s="1520">
        <v>0</v>
      </c>
      <c r="O1483" s="1521">
        <v>0</v>
      </c>
    </row>
    <row r="1484" spans="3:15" ht="13.5">
      <c r="C1484" s="1526" t="s">
        <v>5442</v>
      </c>
      <c r="D1484" s="1523">
        <v>0</v>
      </c>
      <c r="E1484" s="1523">
        <v>0</v>
      </c>
      <c r="F1484" s="1524">
        <v>0</v>
      </c>
      <c r="G1484" s="1537" t="s">
        <v>5442</v>
      </c>
      <c r="H1484" s="1521">
        <v>0</v>
      </c>
      <c r="I1484" s="1521">
        <v>0</v>
      </c>
      <c r="J1484" s="1538">
        <v>0</v>
      </c>
      <c r="K1484" s="1525"/>
      <c r="L1484" s="1519">
        <v>13127000503</v>
      </c>
      <c r="M1484" s="1520">
        <v>0</v>
      </c>
      <c r="N1484" s="1520">
        <v>0</v>
      </c>
      <c r="O1484" s="1521">
        <v>0</v>
      </c>
    </row>
    <row r="1485" spans="3:15" ht="13.5">
      <c r="C1485" s="1526" t="s">
        <v>5443</v>
      </c>
      <c r="D1485" s="1523">
        <v>0</v>
      </c>
      <c r="E1485" s="1523">
        <v>0</v>
      </c>
      <c r="F1485" s="1524">
        <v>0</v>
      </c>
      <c r="G1485" s="1537" t="s">
        <v>5443</v>
      </c>
      <c r="H1485" s="1521">
        <v>0</v>
      </c>
      <c r="I1485" s="1521">
        <v>0</v>
      </c>
      <c r="J1485" s="1538">
        <v>0</v>
      </c>
      <c r="K1485" s="1525"/>
      <c r="L1485" s="1519">
        <v>13127000504</v>
      </c>
      <c r="M1485" s="1520">
        <v>0</v>
      </c>
      <c r="N1485" s="1520">
        <v>0</v>
      </c>
      <c r="O1485" s="1521">
        <v>0</v>
      </c>
    </row>
    <row r="1486" spans="3:15" ht="13.5">
      <c r="C1486" s="1526" t="s">
        <v>5444</v>
      </c>
      <c r="D1486" s="1523">
        <v>0</v>
      </c>
      <c r="E1486" s="1523">
        <v>0</v>
      </c>
      <c r="F1486" s="1524">
        <v>0</v>
      </c>
      <c r="G1486" s="1537" t="s">
        <v>5444</v>
      </c>
      <c r="H1486" s="1521">
        <v>0</v>
      </c>
      <c r="I1486" s="1521">
        <v>0</v>
      </c>
      <c r="J1486" s="1538">
        <v>0</v>
      </c>
      <c r="K1486" s="1525"/>
      <c r="L1486" s="1519">
        <v>13127000600</v>
      </c>
      <c r="M1486" s="1520">
        <v>0</v>
      </c>
      <c r="N1486" s="1520">
        <v>0</v>
      </c>
      <c r="O1486" s="1521">
        <v>0</v>
      </c>
    </row>
    <row r="1487" spans="3:15" ht="13.5">
      <c r="C1487" s="1526" t="s">
        <v>5445</v>
      </c>
      <c r="D1487" s="1523">
        <v>0</v>
      </c>
      <c r="E1487" s="1523">
        <v>0</v>
      </c>
      <c r="F1487" s="1524">
        <v>0</v>
      </c>
      <c r="G1487" s="1537" t="s">
        <v>5445</v>
      </c>
      <c r="H1487" s="1521">
        <v>0</v>
      </c>
      <c r="I1487" s="1521">
        <v>0</v>
      </c>
      <c r="J1487" s="1538">
        <v>0</v>
      </c>
      <c r="K1487" s="1525"/>
      <c r="L1487" s="1519">
        <v>13127000700</v>
      </c>
      <c r="M1487" s="1520">
        <v>0</v>
      </c>
      <c r="N1487" s="1520">
        <v>0</v>
      </c>
      <c r="O1487" s="1521">
        <v>0</v>
      </c>
    </row>
    <row r="1488" spans="3:15" ht="13.5">
      <c r="C1488" s="1526" t="s">
        <v>5446</v>
      </c>
      <c r="D1488" s="1523">
        <v>0</v>
      </c>
      <c r="E1488" s="1523">
        <v>0</v>
      </c>
      <c r="F1488" s="1524">
        <v>0</v>
      </c>
      <c r="G1488" s="1537" t="s">
        <v>5446</v>
      </c>
      <c r="H1488" s="1521">
        <v>0</v>
      </c>
      <c r="I1488" s="1521">
        <v>0</v>
      </c>
      <c r="J1488" s="1538">
        <v>0</v>
      </c>
      <c r="K1488" s="1525"/>
      <c r="L1488" s="1519">
        <v>13127000800</v>
      </c>
      <c r="M1488" s="1520">
        <v>0</v>
      </c>
      <c r="N1488" s="1520">
        <v>0</v>
      </c>
      <c r="O1488" s="1521">
        <v>0</v>
      </c>
    </row>
    <row r="1489" spans="3:15" ht="13.5">
      <c r="C1489" s="1526" t="s">
        <v>5447</v>
      </c>
      <c r="D1489" s="1523">
        <v>0</v>
      </c>
      <c r="E1489" s="1523">
        <v>0</v>
      </c>
      <c r="F1489" s="1524">
        <v>0</v>
      </c>
      <c r="G1489" s="1537" t="s">
        <v>5447</v>
      </c>
      <c r="H1489" s="1521">
        <v>0</v>
      </c>
      <c r="I1489" s="1521">
        <v>0</v>
      </c>
      <c r="J1489" s="1538">
        <v>0</v>
      </c>
      <c r="K1489" s="1525"/>
      <c r="L1489" s="1519">
        <v>13127000900</v>
      </c>
      <c r="M1489" s="1520">
        <v>0</v>
      </c>
      <c r="N1489" s="1520">
        <v>0</v>
      </c>
      <c r="O1489" s="1521">
        <v>0</v>
      </c>
    </row>
    <row r="1490" spans="3:15" ht="13.5">
      <c r="C1490" s="1526" t="s">
        <v>5448</v>
      </c>
      <c r="D1490" s="1523">
        <v>1</v>
      </c>
      <c r="E1490" s="1523">
        <v>1</v>
      </c>
      <c r="F1490" s="1524">
        <v>2</v>
      </c>
      <c r="G1490" s="1537" t="s">
        <v>5448</v>
      </c>
      <c r="H1490" s="1521">
        <v>1</v>
      </c>
      <c r="I1490" s="1521">
        <v>0</v>
      </c>
      <c r="J1490" s="1538">
        <v>1</v>
      </c>
      <c r="K1490" s="1525"/>
      <c r="L1490" s="1519">
        <v>13127001000</v>
      </c>
      <c r="M1490" s="1520">
        <v>1</v>
      </c>
      <c r="N1490" s="1520">
        <v>1</v>
      </c>
      <c r="O1490" s="1521">
        <v>2</v>
      </c>
    </row>
    <row r="1491" spans="3:15" ht="13.5">
      <c r="C1491" s="1526" t="s">
        <v>5449</v>
      </c>
      <c r="D1491" s="1523" t="s">
        <v>4096</v>
      </c>
      <c r="E1491" s="1523" t="s">
        <v>4096</v>
      </c>
      <c r="F1491" s="1524">
        <v>0</v>
      </c>
      <c r="G1491" s="1537" t="s">
        <v>5449</v>
      </c>
      <c r="H1491" s="1521" t="s">
        <v>4096</v>
      </c>
      <c r="I1491" s="1521" t="s">
        <v>4096</v>
      </c>
      <c r="J1491" s="1538">
        <v>0</v>
      </c>
      <c r="K1491" s="1525"/>
      <c r="L1491" s="1519">
        <v>13127990000</v>
      </c>
      <c r="M1491" s="1520">
        <v>0</v>
      </c>
      <c r="N1491" s="1520">
        <v>0</v>
      </c>
      <c r="O1491" s="1521">
        <v>0</v>
      </c>
    </row>
    <row r="1492" spans="3:15" ht="13.5">
      <c r="C1492" s="1526" t="s">
        <v>5450</v>
      </c>
      <c r="D1492" s="1523">
        <v>0</v>
      </c>
      <c r="E1492" s="1523">
        <v>0</v>
      </c>
      <c r="F1492" s="1524">
        <v>0</v>
      </c>
      <c r="G1492" s="1537" t="s">
        <v>5450</v>
      </c>
      <c r="H1492" s="1521">
        <v>0</v>
      </c>
      <c r="I1492" s="1521">
        <v>0</v>
      </c>
      <c r="J1492" s="1538">
        <v>0</v>
      </c>
      <c r="K1492" s="1525"/>
      <c r="L1492" s="1519">
        <v>13129970100</v>
      </c>
      <c r="M1492" s="1520">
        <v>0</v>
      </c>
      <c r="N1492" s="1520">
        <v>0</v>
      </c>
      <c r="O1492" s="1521">
        <v>0</v>
      </c>
    </row>
    <row r="1493" spans="3:15" ht="13.5">
      <c r="C1493" s="1526" t="s">
        <v>5451</v>
      </c>
      <c r="D1493" s="1523">
        <v>0</v>
      </c>
      <c r="E1493" s="1523">
        <v>0</v>
      </c>
      <c r="F1493" s="1524">
        <v>0</v>
      </c>
      <c r="G1493" s="1537" t="s">
        <v>5451</v>
      </c>
      <c r="H1493" s="1521">
        <v>0</v>
      </c>
      <c r="I1493" s="1521">
        <v>0</v>
      </c>
      <c r="J1493" s="1538">
        <v>0</v>
      </c>
      <c r="K1493" s="1525"/>
      <c r="L1493" s="1519">
        <v>13129970200</v>
      </c>
      <c r="M1493" s="1520">
        <v>0</v>
      </c>
      <c r="N1493" s="1520">
        <v>0</v>
      </c>
      <c r="O1493" s="1521">
        <v>0</v>
      </c>
    </row>
    <row r="1494" spans="3:15" ht="13.5">
      <c r="C1494" s="1526" t="s">
        <v>5452</v>
      </c>
      <c r="D1494" s="1523">
        <v>0</v>
      </c>
      <c r="E1494" s="1523">
        <v>0</v>
      </c>
      <c r="F1494" s="1524">
        <v>0</v>
      </c>
      <c r="G1494" s="1537" t="s">
        <v>5452</v>
      </c>
      <c r="H1494" s="1521">
        <v>0</v>
      </c>
      <c r="I1494" s="1521">
        <v>0</v>
      </c>
      <c r="J1494" s="1538">
        <v>0</v>
      </c>
      <c r="K1494" s="1525"/>
      <c r="L1494" s="1519">
        <v>13129970300</v>
      </c>
      <c r="M1494" s="1520">
        <v>0</v>
      </c>
      <c r="N1494" s="1520">
        <v>0</v>
      </c>
      <c r="O1494" s="1521">
        <v>0</v>
      </c>
    </row>
    <row r="1495" spans="3:15" ht="13.5">
      <c r="C1495" s="1526" t="s">
        <v>5453</v>
      </c>
      <c r="D1495" s="1523">
        <v>0</v>
      </c>
      <c r="E1495" s="1523">
        <v>0</v>
      </c>
      <c r="F1495" s="1524">
        <v>0</v>
      </c>
      <c r="G1495" s="1537" t="s">
        <v>5453</v>
      </c>
      <c r="H1495" s="1521">
        <v>0</v>
      </c>
      <c r="I1495" s="1521">
        <v>0</v>
      </c>
      <c r="J1495" s="1538">
        <v>0</v>
      </c>
      <c r="K1495" s="1525"/>
      <c r="L1495" s="1519">
        <v>13129970400</v>
      </c>
      <c r="M1495" s="1520">
        <v>0</v>
      </c>
      <c r="N1495" s="1520">
        <v>0</v>
      </c>
      <c r="O1495" s="1521">
        <v>0</v>
      </c>
    </row>
    <row r="1496" spans="3:15" ht="13.5">
      <c r="C1496" s="1526" t="s">
        <v>5454</v>
      </c>
      <c r="D1496" s="1523">
        <v>0</v>
      </c>
      <c r="E1496" s="1523">
        <v>0</v>
      </c>
      <c r="F1496" s="1524">
        <v>0</v>
      </c>
      <c r="G1496" s="1537" t="s">
        <v>5454</v>
      </c>
      <c r="H1496" s="1521">
        <v>0</v>
      </c>
      <c r="I1496" s="1521">
        <v>0</v>
      </c>
      <c r="J1496" s="1538">
        <v>0</v>
      </c>
      <c r="K1496" s="1525"/>
      <c r="L1496" s="1519">
        <v>13129970500</v>
      </c>
      <c r="M1496" s="1520">
        <v>0</v>
      </c>
      <c r="N1496" s="1520">
        <v>0</v>
      </c>
      <c r="O1496" s="1521">
        <v>0</v>
      </c>
    </row>
    <row r="1497" spans="3:15" ht="13.5">
      <c r="C1497" s="1526" t="s">
        <v>5455</v>
      </c>
      <c r="D1497" s="1523">
        <v>0</v>
      </c>
      <c r="E1497" s="1523">
        <v>0</v>
      </c>
      <c r="F1497" s="1524">
        <v>0</v>
      </c>
      <c r="G1497" s="1537" t="s">
        <v>5455</v>
      </c>
      <c r="H1497" s="1521">
        <v>0</v>
      </c>
      <c r="I1497" s="1521">
        <v>0</v>
      </c>
      <c r="J1497" s="1538">
        <v>0</v>
      </c>
      <c r="K1497" s="1525"/>
      <c r="L1497" s="1519">
        <v>13129970600</v>
      </c>
      <c r="M1497" s="1520">
        <v>0</v>
      </c>
      <c r="N1497" s="1520">
        <v>0</v>
      </c>
      <c r="O1497" s="1521">
        <v>0</v>
      </c>
    </row>
    <row r="1498" spans="3:15" ht="13.5">
      <c r="C1498" s="1526" t="s">
        <v>5456</v>
      </c>
      <c r="D1498" s="1523">
        <v>0</v>
      </c>
      <c r="E1498" s="1523">
        <v>0</v>
      </c>
      <c r="F1498" s="1524">
        <v>0</v>
      </c>
      <c r="G1498" s="1537" t="s">
        <v>5456</v>
      </c>
      <c r="H1498" s="1521">
        <v>0</v>
      </c>
      <c r="I1498" s="1521">
        <v>0</v>
      </c>
      <c r="J1498" s="1538">
        <v>0</v>
      </c>
      <c r="K1498" s="1525"/>
      <c r="L1498" s="1519">
        <v>13129970700</v>
      </c>
      <c r="M1498" s="1520">
        <v>0</v>
      </c>
      <c r="N1498" s="1520">
        <v>0</v>
      </c>
      <c r="O1498" s="1521">
        <v>0</v>
      </c>
    </row>
    <row r="1499" spans="3:15" ht="13.5">
      <c r="C1499" s="1526" t="s">
        <v>5457</v>
      </c>
      <c r="D1499" s="1523">
        <v>1</v>
      </c>
      <c r="E1499" s="1523">
        <v>1</v>
      </c>
      <c r="F1499" s="1524">
        <v>2</v>
      </c>
      <c r="G1499" s="1537" t="s">
        <v>5457</v>
      </c>
      <c r="H1499" s="1521">
        <v>1</v>
      </c>
      <c r="I1499" s="1521">
        <v>1</v>
      </c>
      <c r="J1499" s="1538">
        <v>2</v>
      </c>
      <c r="K1499" s="1525"/>
      <c r="L1499" s="1519">
        <v>13129970800</v>
      </c>
      <c r="M1499" s="1520">
        <v>1</v>
      </c>
      <c r="N1499" s="1520">
        <v>1</v>
      </c>
      <c r="O1499" s="1521">
        <v>2</v>
      </c>
    </row>
    <row r="1500" spans="3:15" ht="13.5">
      <c r="C1500" s="1526" t="s">
        <v>5458</v>
      </c>
      <c r="D1500" s="1523">
        <v>1</v>
      </c>
      <c r="E1500" s="1523">
        <v>0</v>
      </c>
      <c r="F1500" s="1524">
        <v>1</v>
      </c>
      <c r="G1500" s="1537" t="s">
        <v>5458</v>
      </c>
      <c r="H1500" s="1521">
        <v>1</v>
      </c>
      <c r="I1500" s="1521">
        <v>1</v>
      </c>
      <c r="J1500" s="1538">
        <v>2</v>
      </c>
      <c r="K1500" s="1525"/>
      <c r="L1500" s="1519">
        <v>13129970900</v>
      </c>
      <c r="M1500" s="1520">
        <v>1</v>
      </c>
      <c r="N1500" s="1520">
        <v>1</v>
      </c>
      <c r="O1500" s="1521">
        <v>2</v>
      </c>
    </row>
    <row r="1501" spans="3:15" ht="13.5">
      <c r="C1501" s="1526" t="s">
        <v>5459</v>
      </c>
      <c r="D1501" s="1523">
        <v>0</v>
      </c>
      <c r="E1501" s="1523">
        <v>0</v>
      </c>
      <c r="F1501" s="1524">
        <v>0</v>
      </c>
      <c r="G1501" s="1537" t="s">
        <v>5459</v>
      </c>
      <c r="H1501" s="1521">
        <v>0</v>
      </c>
      <c r="I1501" s="1521">
        <v>1</v>
      </c>
      <c r="J1501" s="1538">
        <v>1</v>
      </c>
      <c r="K1501" s="1525"/>
      <c r="L1501" s="1519">
        <v>13131950100</v>
      </c>
      <c r="M1501" s="1520">
        <v>0</v>
      </c>
      <c r="N1501" s="1520">
        <v>1</v>
      </c>
      <c r="O1501" s="1521">
        <v>1</v>
      </c>
    </row>
    <row r="1502" spans="3:15" ht="13.5">
      <c r="C1502" s="1526" t="s">
        <v>5460</v>
      </c>
      <c r="D1502" s="1523">
        <v>0</v>
      </c>
      <c r="E1502" s="1523">
        <v>0</v>
      </c>
      <c r="F1502" s="1524">
        <v>0</v>
      </c>
      <c r="G1502" s="1537" t="s">
        <v>5460</v>
      </c>
      <c r="H1502" s="1521">
        <v>0</v>
      </c>
      <c r="I1502" s="1521">
        <v>0</v>
      </c>
      <c r="J1502" s="1538">
        <v>0</v>
      </c>
      <c r="K1502" s="1525"/>
      <c r="L1502" s="1519">
        <v>13131950200</v>
      </c>
      <c r="M1502" s="1520">
        <v>0</v>
      </c>
      <c r="N1502" s="1520">
        <v>0</v>
      </c>
      <c r="O1502" s="1521">
        <v>0</v>
      </c>
    </row>
    <row r="1503" spans="3:15" ht="13.5">
      <c r="C1503" s="1526" t="s">
        <v>5461</v>
      </c>
      <c r="D1503" s="1523">
        <v>0</v>
      </c>
      <c r="E1503" s="1523">
        <v>0</v>
      </c>
      <c r="F1503" s="1524">
        <v>0</v>
      </c>
      <c r="G1503" s="1537" t="s">
        <v>5461</v>
      </c>
      <c r="H1503" s="1521">
        <v>0</v>
      </c>
      <c r="I1503" s="1521">
        <v>0</v>
      </c>
      <c r="J1503" s="1538">
        <v>0</v>
      </c>
      <c r="K1503" s="1525"/>
      <c r="L1503" s="1519">
        <v>13131950300</v>
      </c>
      <c r="M1503" s="1520">
        <v>0</v>
      </c>
      <c r="N1503" s="1520">
        <v>0</v>
      </c>
      <c r="O1503" s="1521">
        <v>0</v>
      </c>
    </row>
    <row r="1504" spans="3:15" ht="13.5">
      <c r="C1504" s="1526" t="s">
        <v>5462</v>
      </c>
      <c r="D1504" s="1523">
        <v>0</v>
      </c>
      <c r="E1504" s="1523">
        <v>0</v>
      </c>
      <c r="F1504" s="1524">
        <v>0</v>
      </c>
      <c r="G1504" s="1537" t="s">
        <v>5462</v>
      </c>
      <c r="H1504" s="1521">
        <v>0</v>
      </c>
      <c r="I1504" s="1521">
        <v>0</v>
      </c>
      <c r="J1504" s="1538">
        <v>0</v>
      </c>
      <c r="K1504" s="1525"/>
      <c r="L1504" s="1519">
        <v>13131950400</v>
      </c>
      <c r="M1504" s="1520">
        <v>0</v>
      </c>
      <c r="N1504" s="1520">
        <v>0</v>
      </c>
      <c r="O1504" s="1521">
        <v>0</v>
      </c>
    </row>
    <row r="1505" spans="3:15" ht="13.5">
      <c r="C1505" s="1526" t="s">
        <v>5463</v>
      </c>
      <c r="D1505" s="1523">
        <v>0</v>
      </c>
      <c r="E1505" s="1523">
        <v>0</v>
      </c>
      <c r="F1505" s="1524">
        <v>0</v>
      </c>
      <c r="G1505" s="1537" t="s">
        <v>5463</v>
      </c>
      <c r="H1505" s="1521">
        <v>0</v>
      </c>
      <c r="I1505" s="1521">
        <v>0</v>
      </c>
      <c r="J1505" s="1538">
        <v>0</v>
      </c>
      <c r="K1505" s="1525"/>
      <c r="L1505" s="1519">
        <v>13131950500</v>
      </c>
      <c r="M1505" s="1520">
        <v>0</v>
      </c>
      <c r="N1505" s="1520">
        <v>0</v>
      </c>
      <c r="O1505" s="1521">
        <v>0</v>
      </c>
    </row>
    <row r="1506" spans="3:15" ht="13.5">
      <c r="C1506" s="1526" t="s">
        <v>5464</v>
      </c>
      <c r="D1506" s="1523">
        <v>1</v>
      </c>
      <c r="E1506" s="1523">
        <v>0</v>
      </c>
      <c r="F1506" s="1524">
        <v>1</v>
      </c>
      <c r="G1506" s="1537" t="s">
        <v>5464</v>
      </c>
      <c r="H1506" s="1521">
        <v>1</v>
      </c>
      <c r="I1506" s="1521">
        <v>1</v>
      </c>
      <c r="J1506" s="1538">
        <v>2</v>
      </c>
      <c r="K1506" s="1525"/>
      <c r="L1506" s="1519">
        <v>13131950600</v>
      </c>
      <c r="M1506" s="1520">
        <v>1</v>
      </c>
      <c r="N1506" s="1520">
        <v>1</v>
      </c>
      <c r="O1506" s="1521">
        <v>2</v>
      </c>
    </row>
    <row r="1507" spans="3:15" ht="13.5">
      <c r="C1507" s="1526" t="s">
        <v>5465</v>
      </c>
      <c r="D1507" s="1523">
        <v>0</v>
      </c>
      <c r="E1507" s="1523">
        <v>0</v>
      </c>
      <c r="F1507" s="1524">
        <v>0</v>
      </c>
      <c r="G1507" s="1537" t="s">
        <v>5465</v>
      </c>
      <c r="H1507" s="1521">
        <v>0</v>
      </c>
      <c r="I1507" s="1521" t="s">
        <v>4096</v>
      </c>
      <c r="J1507" s="1538">
        <v>0</v>
      </c>
      <c r="K1507" s="1525"/>
      <c r="L1507" s="1519">
        <v>13133950100</v>
      </c>
      <c r="M1507" s="1520">
        <v>0</v>
      </c>
      <c r="N1507" s="1520">
        <v>0</v>
      </c>
      <c r="O1507" s="1521">
        <v>0</v>
      </c>
    </row>
    <row r="1508" spans="3:15" ht="13.5">
      <c r="C1508" s="1526" t="s">
        <v>5466</v>
      </c>
      <c r="D1508" s="1523">
        <v>0</v>
      </c>
      <c r="E1508" s="1523">
        <v>0</v>
      </c>
      <c r="F1508" s="1524">
        <v>0</v>
      </c>
      <c r="G1508" s="1537" t="s">
        <v>5466</v>
      </c>
      <c r="H1508" s="1521">
        <v>0</v>
      </c>
      <c r="I1508" s="1521">
        <v>0</v>
      </c>
      <c r="J1508" s="1538">
        <v>0</v>
      </c>
      <c r="K1508" s="1525"/>
      <c r="L1508" s="1519">
        <v>13133950200</v>
      </c>
      <c r="M1508" s="1520">
        <v>0</v>
      </c>
      <c r="N1508" s="1520">
        <v>0</v>
      </c>
      <c r="O1508" s="1521">
        <v>0</v>
      </c>
    </row>
    <row r="1509" spans="3:15" ht="13.5">
      <c r="C1509" s="1526" t="s">
        <v>5467</v>
      </c>
      <c r="D1509" s="1523">
        <v>1</v>
      </c>
      <c r="E1509" s="1523">
        <v>1</v>
      </c>
      <c r="F1509" s="1524">
        <v>2</v>
      </c>
      <c r="G1509" s="1537" t="s">
        <v>5467</v>
      </c>
      <c r="H1509" s="1521">
        <v>1</v>
      </c>
      <c r="I1509" s="1521" t="s">
        <v>4096</v>
      </c>
      <c r="J1509" s="1538">
        <v>1</v>
      </c>
      <c r="K1509" s="1525"/>
      <c r="L1509" s="1519">
        <v>13133950301</v>
      </c>
      <c r="M1509" s="1520">
        <v>1</v>
      </c>
      <c r="N1509" s="1520">
        <v>1</v>
      </c>
      <c r="O1509" s="1521">
        <v>2</v>
      </c>
    </row>
    <row r="1510" spans="3:15" ht="13.5">
      <c r="C1510" s="1526" t="s">
        <v>5468</v>
      </c>
      <c r="D1510" s="1523">
        <v>1</v>
      </c>
      <c r="E1510" s="1523">
        <v>1</v>
      </c>
      <c r="F1510" s="1524">
        <v>2</v>
      </c>
      <c r="G1510" s="1537" t="s">
        <v>5468</v>
      </c>
      <c r="H1510" s="1521">
        <v>1</v>
      </c>
      <c r="I1510" s="1521">
        <v>1</v>
      </c>
      <c r="J1510" s="1538">
        <v>2</v>
      </c>
      <c r="K1510" s="1525"/>
      <c r="L1510" s="1519">
        <v>13133950302</v>
      </c>
      <c r="M1510" s="1520">
        <v>1</v>
      </c>
      <c r="N1510" s="1520">
        <v>1</v>
      </c>
      <c r="O1510" s="1521">
        <v>2</v>
      </c>
    </row>
    <row r="1511" spans="3:15" ht="13.5">
      <c r="C1511" s="1526" t="s">
        <v>5469</v>
      </c>
      <c r="D1511" s="1523">
        <v>0</v>
      </c>
      <c r="E1511" s="1523">
        <v>0</v>
      </c>
      <c r="F1511" s="1524">
        <v>0</v>
      </c>
      <c r="G1511" s="1537" t="s">
        <v>5469</v>
      </c>
      <c r="H1511" s="1521">
        <v>0</v>
      </c>
      <c r="I1511" s="1521">
        <v>0</v>
      </c>
      <c r="J1511" s="1538">
        <v>0</v>
      </c>
      <c r="K1511" s="1525"/>
      <c r="L1511" s="1519">
        <v>13133950303</v>
      </c>
      <c r="M1511" s="1520">
        <v>0</v>
      </c>
      <c r="N1511" s="1520">
        <v>0</v>
      </c>
      <c r="O1511" s="1521">
        <v>0</v>
      </c>
    </row>
    <row r="1512" spans="3:15" ht="13.5">
      <c r="C1512" s="1526" t="s">
        <v>5470</v>
      </c>
      <c r="D1512" s="1523">
        <v>0</v>
      </c>
      <c r="E1512" s="1523">
        <v>0</v>
      </c>
      <c r="F1512" s="1524">
        <v>0</v>
      </c>
      <c r="G1512" s="1537" t="s">
        <v>5470</v>
      </c>
      <c r="H1512" s="1521">
        <v>0</v>
      </c>
      <c r="I1512" s="1521">
        <v>0</v>
      </c>
      <c r="J1512" s="1538">
        <v>0</v>
      </c>
      <c r="K1512" s="1525"/>
      <c r="L1512" s="1519">
        <v>13133950400</v>
      </c>
      <c r="M1512" s="1520">
        <v>0</v>
      </c>
      <c r="N1512" s="1520">
        <v>0</v>
      </c>
      <c r="O1512" s="1521">
        <v>0</v>
      </c>
    </row>
    <row r="1513" spans="3:15" ht="13.5">
      <c r="C1513" s="1526" t="s">
        <v>5471</v>
      </c>
      <c r="D1513" s="1523">
        <v>1</v>
      </c>
      <c r="E1513" s="1523">
        <v>0</v>
      </c>
      <c r="F1513" s="1524">
        <v>1</v>
      </c>
      <c r="G1513" s="1537" t="s">
        <v>5471</v>
      </c>
      <c r="H1513" s="1521">
        <v>0</v>
      </c>
      <c r="I1513" s="1521">
        <v>0</v>
      </c>
      <c r="J1513" s="1538">
        <v>0</v>
      </c>
      <c r="K1513" s="1525"/>
      <c r="L1513" s="1519">
        <v>13133950500</v>
      </c>
      <c r="M1513" s="1520">
        <v>1</v>
      </c>
      <c r="N1513" s="1520">
        <v>0</v>
      </c>
      <c r="O1513" s="1521">
        <v>1</v>
      </c>
    </row>
    <row r="1514" spans="3:15" ht="13.5">
      <c r="C1514" s="1526" t="s">
        <v>5472</v>
      </c>
      <c r="D1514" s="1523">
        <v>1</v>
      </c>
      <c r="E1514" s="1523">
        <v>1</v>
      </c>
      <c r="F1514" s="1524">
        <v>2</v>
      </c>
      <c r="G1514" s="1537" t="s">
        <v>5472</v>
      </c>
      <c r="H1514" s="1521">
        <v>1</v>
      </c>
      <c r="I1514" s="1521">
        <v>0</v>
      </c>
      <c r="J1514" s="1538">
        <v>1</v>
      </c>
      <c r="K1514" s="1525"/>
      <c r="L1514" s="1519">
        <v>13135050103</v>
      </c>
      <c r="M1514" s="1520">
        <v>1</v>
      </c>
      <c r="N1514" s="1520">
        <v>1</v>
      </c>
      <c r="O1514" s="1521">
        <v>2</v>
      </c>
    </row>
    <row r="1515" spans="3:15" ht="13.5">
      <c r="C1515" s="1526" t="s">
        <v>5473</v>
      </c>
      <c r="D1515" s="1523">
        <v>0</v>
      </c>
      <c r="E1515" s="1523">
        <v>0</v>
      </c>
      <c r="F1515" s="1524">
        <v>0</v>
      </c>
      <c r="G1515" s="1537" t="s">
        <v>5473</v>
      </c>
      <c r="H1515" s="1521">
        <v>0</v>
      </c>
      <c r="I1515" s="1521">
        <v>0</v>
      </c>
      <c r="J1515" s="1538">
        <v>0</v>
      </c>
      <c r="K1515" s="1525"/>
      <c r="L1515" s="1519">
        <v>13135050105</v>
      </c>
      <c r="M1515" s="1520">
        <v>0</v>
      </c>
      <c r="N1515" s="1520">
        <v>0</v>
      </c>
      <c r="O1515" s="1521">
        <v>0</v>
      </c>
    </row>
    <row r="1516" spans="3:15" ht="13.5">
      <c r="C1516" s="1526" t="s">
        <v>5474</v>
      </c>
      <c r="D1516" s="1523">
        <v>1</v>
      </c>
      <c r="E1516" s="1523">
        <v>0</v>
      </c>
      <c r="F1516" s="1524">
        <v>1</v>
      </c>
      <c r="G1516" s="1537" t="s">
        <v>5474</v>
      </c>
      <c r="H1516" s="1521">
        <v>1</v>
      </c>
      <c r="I1516" s="1521">
        <v>0</v>
      </c>
      <c r="J1516" s="1538">
        <v>1</v>
      </c>
      <c r="K1516" s="1525"/>
      <c r="L1516" s="1519">
        <v>13135050106</v>
      </c>
      <c r="M1516" s="1520">
        <v>1</v>
      </c>
      <c r="N1516" s="1520">
        <v>0</v>
      </c>
      <c r="O1516" s="1521">
        <v>1</v>
      </c>
    </row>
    <row r="1517" spans="3:15" ht="13.5">
      <c r="C1517" s="1526" t="s">
        <v>5475</v>
      </c>
      <c r="D1517" s="1523">
        <v>1</v>
      </c>
      <c r="E1517" s="1523">
        <v>1</v>
      </c>
      <c r="F1517" s="1524">
        <v>2</v>
      </c>
      <c r="G1517" s="1537" t="s">
        <v>5475</v>
      </c>
      <c r="H1517" s="1521">
        <v>1</v>
      </c>
      <c r="I1517" s="1521">
        <v>1</v>
      </c>
      <c r="J1517" s="1538">
        <v>2</v>
      </c>
      <c r="K1517" s="1525"/>
      <c r="L1517" s="1519">
        <v>13135050107</v>
      </c>
      <c r="M1517" s="1520">
        <v>1</v>
      </c>
      <c r="N1517" s="1520">
        <v>1</v>
      </c>
      <c r="O1517" s="1521">
        <v>2</v>
      </c>
    </row>
    <row r="1518" spans="3:15" ht="13.5">
      <c r="C1518" s="1526" t="s">
        <v>5476</v>
      </c>
      <c r="D1518" s="1523">
        <v>1</v>
      </c>
      <c r="E1518" s="1523">
        <v>1</v>
      </c>
      <c r="F1518" s="1524">
        <v>2</v>
      </c>
      <c r="G1518" s="1537" t="s">
        <v>5476</v>
      </c>
      <c r="H1518" s="1521">
        <v>1</v>
      </c>
      <c r="I1518" s="1521">
        <v>1</v>
      </c>
      <c r="J1518" s="1538">
        <v>2</v>
      </c>
      <c r="K1518" s="1525"/>
      <c r="L1518" s="1519">
        <v>13135050108</v>
      </c>
      <c r="M1518" s="1520">
        <v>1</v>
      </c>
      <c r="N1518" s="1520">
        <v>1</v>
      </c>
      <c r="O1518" s="1521">
        <v>2</v>
      </c>
    </row>
    <row r="1519" spans="3:15" ht="13.5">
      <c r="C1519" s="1526" t="s">
        <v>5477</v>
      </c>
      <c r="D1519" s="1523">
        <v>1</v>
      </c>
      <c r="E1519" s="1523">
        <v>1</v>
      </c>
      <c r="F1519" s="1524">
        <v>2</v>
      </c>
      <c r="G1519" s="1537" t="s">
        <v>5477</v>
      </c>
      <c r="H1519" s="1521">
        <v>1</v>
      </c>
      <c r="I1519" s="1521">
        <v>0</v>
      </c>
      <c r="J1519" s="1538">
        <v>1</v>
      </c>
      <c r="K1519" s="1525"/>
      <c r="L1519" s="1519">
        <v>13135050109</v>
      </c>
      <c r="M1519" s="1520">
        <v>1</v>
      </c>
      <c r="N1519" s="1520">
        <v>1</v>
      </c>
      <c r="O1519" s="1521">
        <v>2</v>
      </c>
    </row>
    <row r="1520" spans="3:15" ht="13.5">
      <c r="C1520" s="1526" t="s">
        <v>5478</v>
      </c>
      <c r="D1520" s="1523">
        <v>1</v>
      </c>
      <c r="E1520" s="1523">
        <v>0</v>
      </c>
      <c r="F1520" s="1524">
        <v>1</v>
      </c>
      <c r="G1520" s="1537" t="s">
        <v>5478</v>
      </c>
      <c r="H1520" s="1521">
        <v>1</v>
      </c>
      <c r="I1520" s="1521">
        <v>0</v>
      </c>
      <c r="J1520" s="1538">
        <v>1</v>
      </c>
      <c r="K1520" s="1525"/>
      <c r="L1520" s="1519">
        <v>13135050205</v>
      </c>
      <c r="M1520" s="1520">
        <v>1</v>
      </c>
      <c r="N1520" s="1520">
        <v>0</v>
      </c>
      <c r="O1520" s="1521">
        <v>1</v>
      </c>
    </row>
    <row r="1521" spans="3:15" ht="13.5">
      <c r="C1521" s="1526" t="s">
        <v>5479</v>
      </c>
      <c r="D1521" s="1523">
        <v>1</v>
      </c>
      <c r="E1521" s="1523">
        <v>1</v>
      </c>
      <c r="F1521" s="1524">
        <v>2</v>
      </c>
      <c r="G1521" s="1537" t="s">
        <v>5479</v>
      </c>
      <c r="H1521" s="1521">
        <v>1</v>
      </c>
      <c r="I1521" s="1521">
        <v>1</v>
      </c>
      <c r="J1521" s="1538">
        <v>2</v>
      </c>
      <c r="K1521" s="1525"/>
      <c r="L1521" s="1519">
        <v>13135050208</v>
      </c>
      <c r="M1521" s="1520">
        <v>1</v>
      </c>
      <c r="N1521" s="1520">
        <v>1</v>
      </c>
      <c r="O1521" s="1521">
        <v>2</v>
      </c>
    </row>
    <row r="1522" spans="3:15" ht="13.5">
      <c r="C1522" s="1526" t="s">
        <v>5480</v>
      </c>
      <c r="D1522" s="1523">
        <v>0</v>
      </c>
      <c r="E1522" s="1523">
        <v>0</v>
      </c>
      <c r="F1522" s="1524">
        <v>0</v>
      </c>
      <c r="G1522" s="1537" t="s">
        <v>5480</v>
      </c>
      <c r="H1522" s="1521">
        <v>1</v>
      </c>
      <c r="I1522" s="1521">
        <v>0</v>
      </c>
      <c r="J1522" s="1538">
        <v>1</v>
      </c>
      <c r="K1522" s="1525"/>
      <c r="L1522" s="1519">
        <v>13135050209</v>
      </c>
      <c r="M1522" s="1520">
        <v>1</v>
      </c>
      <c r="N1522" s="1520">
        <v>0</v>
      </c>
      <c r="O1522" s="1521">
        <v>1</v>
      </c>
    </row>
    <row r="1523" spans="3:15" ht="13.5">
      <c r="C1523" s="1526" t="s">
        <v>5481</v>
      </c>
      <c r="D1523" s="1523">
        <v>1</v>
      </c>
      <c r="E1523" s="1523">
        <v>1</v>
      </c>
      <c r="F1523" s="1524">
        <v>2</v>
      </c>
      <c r="G1523" s="1537" t="s">
        <v>5481</v>
      </c>
      <c r="H1523" s="1521">
        <v>1</v>
      </c>
      <c r="I1523" s="1521">
        <v>1</v>
      </c>
      <c r="J1523" s="1538">
        <v>2</v>
      </c>
      <c r="K1523" s="1525"/>
      <c r="L1523" s="1519">
        <v>13135050210</v>
      </c>
      <c r="M1523" s="1520">
        <v>1</v>
      </c>
      <c r="N1523" s="1520">
        <v>1</v>
      </c>
      <c r="O1523" s="1521">
        <v>2</v>
      </c>
    </row>
    <row r="1524" spans="3:15" ht="13.5">
      <c r="C1524" s="1526" t="s">
        <v>5482</v>
      </c>
      <c r="D1524" s="1523">
        <v>0</v>
      </c>
      <c r="E1524" s="1523">
        <v>0</v>
      </c>
      <c r="F1524" s="1524">
        <v>0</v>
      </c>
      <c r="G1524" s="1537" t="s">
        <v>5482</v>
      </c>
      <c r="H1524" s="1521">
        <v>0</v>
      </c>
      <c r="I1524" s="1521">
        <v>0</v>
      </c>
      <c r="J1524" s="1538">
        <v>0</v>
      </c>
      <c r="K1524" s="1525"/>
      <c r="L1524" s="1519">
        <v>13135050211</v>
      </c>
      <c r="M1524" s="1520">
        <v>0</v>
      </c>
      <c r="N1524" s="1520">
        <v>0</v>
      </c>
      <c r="O1524" s="1521">
        <v>0</v>
      </c>
    </row>
    <row r="1525" spans="3:15" ht="13.5">
      <c r="C1525" s="1526" t="s">
        <v>5483</v>
      </c>
      <c r="D1525" s="1523">
        <v>1</v>
      </c>
      <c r="E1525" s="1523">
        <v>1</v>
      </c>
      <c r="F1525" s="1524">
        <v>2</v>
      </c>
      <c r="G1525" s="1537" t="s">
        <v>5483</v>
      </c>
      <c r="H1525" s="1521">
        <v>1</v>
      </c>
      <c r="I1525" s="1521">
        <v>1</v>
      </c>
      <c r="J1525" s="1538">
        <v>2</v>
      </c>
      <c r="K1525" s="1525"/>
      <c r="L1525" s="1519">
        <v>13135050212</v>
      </c>
      <c r="M1525" s="1520">
        <v>1</v>
      </c>
      <c r="N1525" s="1520">
        <v>1</v>
      </c>
      <c r="O1525" s="1521">
        <v>2</v>
      </c>
    </row>
    <row r="1526" spans="3:15" ht="13.5">
      <c r="C1526" s="1526" t="s">
        <v>5484</v>
      </c>
      <c r="D1526" s="1523">
        <v>1</v>
      </c>
      <c r="E1526" s="1523">
        <v>1</v>
      </c>
      <c r="F1526" s="1524">
        <v>2</v>
      </c>
      <c r="G1526" s="1537" t="s">
        <v>5484</v>
      </c>
      <c r="H1526" s="1521">
        <v>1</v>
      </c>
      <c r="I1526" s="1521">
        <v>1</v>
      </c>
      <c r="J1526" s="1538">
        <v>2</v>
      </c>
      <c r="K1526" s="1525"/>
      <c r="L1526" s="1519">
        <v>13135050213</v>
      </c>
      <c r="M1526" s="1520">
        <v>1</v>
      </c>
      <c r="N1526" s="1520">
        <v>1</v>
      </c>
      <c r="O1526" s="1521">
        <v>2</v>
      </c>
    </row>
    <row r="1527" spans="3:15" ht="13.5">
      <c r="C1527" s="1526" t="s">
        <v>5485</v>
      </c>
      <c r="D1527" s="1523">
        <v>1</v>
      </c>
      <c r="E1527" s="1523">
        <v>1</v>
      </c>
      <c r="F1527" s="1524">
        <v>2</v>
      </c>
      <c r="G1527" s="1537" t="s">
        <v>5485</v>
      </c>
      <c r="H1527" s="1521">
        <v>1</v>
      </c>
      <c r="I1527" s="1521">
        <v>1</v>
      </c>
      <c r="J1527" s="1538">
        <v>2</v>
      </c>
      <c r="K1527" s="1525"/>
      <c r="L1527" s="1519">
        <v>13135050214</v>
      </c>
      <c r="M1527" s="1520">
        <v>1</v>
      </c>
      <c r="N1527" s="1520">
        <v>1</v>
      </c>
      <c r="O1527" s="1521">
        <v>2</v>
      </c>
    </row>
    <row r="1528" spans="3:15" ht="13.5">
      <c r="C1528" s="1526" t="s">
        <v>5486</v>
      </c>
      <c r="D1528" s="1523">
        <v>1</v>
      </c>
      <c r="E1528" s="1523">
        <v>1</v>
      </c>
      <c r="F1528" s="1524">
        <v>2</v>
      </c>
      <c r="G1528" s="1537" t="s">
        <v>5486</v>
      </c>
      <c r="H1528" s="1521">
        <v>1</v>
      </c>
      <c r="I1528" s="1521" t="s">
        <v>4096</v>
      </c>
      <c r="J1528" s="1538">
        <v>1</v>
      </c>
      <c r="K1528" s="1525"/>
      <c r="L1528" s="1519">
        <v>13135050215</v>
      </c>
      <c r="M1528" s="1520">
        <v>1</v>
      </c>
      <c r="N1528" s="1520">
        <v>1</v>
      </c>
      <c r="O1528" s="1521">
        <v>2</v>
      </c>
    </row>
    <row r="1529" spans="3:15" ht="13.5">
      <c r="C1529" s="1526" t="s">
        <v>5487</v>
      </c>
      <c r="D1529" s="1523">
        <v>1</v>
      </c>
      <c r="E1529" s="1523">
        <v>1</v>
      </c>
      <c r="F1529" s="1524">
        <v>2</v>
      </c>
      <c r="G1529" s="1537" t="s">
        <v>5487</v>
      </c>
      <c r="H1529" s="1521">
        <v>1</v>
      </c>
      <c r="I1529" s="1521">
        <v>1</v>
      </c>
      <c r="J1529" s="1538">
        <v>2</v>
      </c>
      <c r="K1529" s="1525"/>
      <c r="L1529" s="1519">
        <v>13135050216</v>
      </c>
      <c r="M1529" s="1520">
        <v>1</v>
      </c>
      <c r="N1529" s="1520">
        <v>1</v>
      </c>
      <c r="O1529" s="1521">
        <v>2</v>
      </c>
    </row>
    <row r="1530" spans="3:15" ht="13.5">
      <c r="C1530" s="1526" t="s">
        <v>5488</v>
      </c>
      <c r="D1530" s="1523">
        <v>1</v>
      </c>
      <c r="E1530" s="1523">
        <v>1</v>
      </c>
      <c r="F1530" s="1524">
        <v>2</v>
      </c>
      <c r="G1530" s="1537" t="s">
        <v>5488</v>
      </c>
      <c r="H1530" s="1521">
        <v>1</v>
      </c>
      <c r="I1530" s="1521">
        <v>1</v>
      </c>
      <c r="J1530" s="1538">
        <v>2</v>
      </c>
      <c r="K1530" s="1525"/>
      <c r="L1530" s="1519">
        <v>13135050217</v>
      </c>
      <c r="M1530" s="1520">
        <v>1</v>
      </c>
      <c r="N1530" s="1520">
        <v>1</v>
      </c>
      <c r="O1530" s="1521">
        <v>2</v>
      </c>
    </row>
    <row r="1531" spans="3:15" ht="13.5">
      <c r="C1531" s="1526" t="s">
        <v>5489</v>
      </c>
      <c r="D1531" s="1523">
        <v>1</v>
      </c>
      <c r="E1531" s="1523">
        <v>1</v>
      </c>
      <c r="F1531" s="1524">
        <v>2</v>
      </c>
      <c r="G1531" s="1537" t="s">
        <v>5489</v>
      </c>
      <c r="H1531" s="1521">
        <v>1</v>
      </c>
      <c r="I1531" s="1521">
        <v>0</v>
      </c>
      <c r="J1531" s="1538">
        <v>1</v>
      </c>
      <c r="K1531" s="1525"/>
      <c r="L1531" s="1519">
        <v>13135050218</v>
      </c>
      <c r="M1531" s="1520">
        <v>1</v>
      </c>
      <c r="N1531" s="1520">
        <v>1</v>
      </c>
      <c r="O1531" s="1521">
        <v>2</v>
      </c>
    </row>
    <row r="1532" spans="3:15" ht="13.5">
      <c r="C1532" s="1526" t="s">
        <v>5490</v>
      </c>
      <c r="D1532" s="1523">
        <v>1</v>
      </c>
      <c r="E1532" s="1523">
        <v>1</v>
      </c>
      <c r="F1532" s="1524">
        <v>2</v>
      </c>
      <c r="G1532" s="1537" t="s">
        <v>5490</v>
      </c>
      <c r="H1532" s="1521">
        <v>1</v>
      </c>
      <c r="I1532" s="1521">
        <v>1</v>
      </c>
      <c r="J1532" s="1538">
        <v>2</v>
      </c>
      <c r="K1532" s="1525"/>
      <c r="L1532" s="1519">
        <v>13135050219</v>
      </c>
      <c r="M1532" s="1520">
        <v>1</v>
      </c>
      <c r="N1532" s="1520">
        <v>1</v>
      </c>
      <c r="O1532" s="1521">
        <v>2</v>
      </c>
    </row>
    <row r="1533" spans="3:15" ht="13.5">
      <c r="C1533" s="1526" t="s">
        <v>5491</v>
      </c>
      <c r="D1533" s="1523">
        <v>0</v>
      </c>
      <c r="E1533" s="1523">
        <v>0</v>
      </c>
      <c r="F1533" s="1524">
        <v>0</v>
      </c>
      <c r="G1533" s="1537" t="s">
        <v>5491</v>
      </c>
      <c r="H1533" s="1521">
        <v>1</v>
      </c>
      <c r="I1533" s="1521">
        <v>0</v>
      </c>
      <c r="J1533" s="1538">
        <v>1</v>
      </c>
      <c r="K1533" s="1525"/>
      <c r="L1533" s="1519">
        <v>13135050220</v>
      </c>
      <c r="M1533" s="1520">
        <v>1</v>
      </c>
      <c r="N1533" s="1520">
        <v>0</v>
      </c>
      <c r="O1533" s="1521">
        <v>1</v>
      </c>
    </row>
    <row r="1534" spans="3:15" ht="13.5">
      <c r="C1534" s="1526" t="s">
        <v>5492</v>
      </c>
      <c r="D1534" s="1523">
        <v>1</v>
      </c>
      <c r="E1534" s="1523">
        <v>0</v>
      </c>
      <c r="F1534" s="1524">
        <v>1</v>
      </c>
      <c r="G1534" s="1537" t="s">
        <v>5492</v>
      </c>
      <c r="H1534" s="1521">
        <v>1</v>
      </c>
      <c r="I1534" s="1521">
        <v>0</v>
      </c>
      <c r="J1534" s="1538">
        <v>1</v>
      </c>
      <c r="K1534" s="1525"/>
      <c r="L1534" s="1519">
        <v>13135050304</v>
      </c>
      <c r="M1534" s="1520">
        <v>1</v>
      </c>
      <c r="N1534" s="1520">
        <v>0</v>
      </c>
      <c r="O1534" s="1521">
        <v>1</v>
      </c>
    </row>
    <row r="1535" spans="3:15" ht="13.5">
      <c r="C1535" s="1526" t="s">
        <v>5493</v>
      </c>
      <c r="D1535" s="1523">
        <v>0</v>
      </c>
      <c r="E1535" s="1523">
        <v>0</v>
      </c>
      <c r="F1535" s="1524">
        <v>0</v>
      </c>
      <c r="G1535" s="1537" t="s">
        <v>5493</v>
      </c>
      <c r="H1535" s="1521">
        <v>1</v>
      </c>
      <c r="I1535" s="1521">
        <v>0</v>
      </c>
      <c r="J1535" s="1538">
        <v>1</v>
      </c>
      <c r="K1535" s="1525"/>
      <c r="L1535" s="1519">
        <v>13135050306</v>
      </c>
      <c r="M1535" s="1520">
        <v>1</v>
      </c>
      <c r="N1535" s="1520">
        <v>0</v>
      </c>
      <c r="O1535" s="1521">
        <v>1</v>
      </c>
    </row>
    <row r="1536" spans="3:15" ht="13.5">
      <c r="C1536" s="1526" t="s">
        <v>5494</v>
      </c>
      <c r="D1536" s="1523">
        <v>1</v>
      </c>
      <c r="E1536" s="1523">
        <v>1</v>
      </c>
      <c r="F1536" s="1524">
        <v>2</v>
      </c>
      <c r="G1536" s="1537" t="s">
        <v>5494</v>
      </c>
      <c r="H1536" s="1521">
        <v>1</v>
      </c>
      <c r="I1536" s="1521">
        <v>1</v>
      </c>
      <c r="J1536" s="1538">
        <v>2</v>
      </c>
      <c r="K1536" s="1525"/>
      <c r="L1536" s="1519">
        <v>13135050308</v>
      </c>
      <c r="M1536" s="1520">
        <v>1</v>
      </c>
      <c r="N1536" s="1520">
        <v>1</v>
      </c>
      <c r="O1536" s="1521">
        <v>2</v>
      </c>
    </row>
    <row r="1537" spans="3:15" ht="13.5">
      <c r="C1537" s="1526" t="s">
        <v>5495</v>
      </c>
      <c r="D1537" s="1523">
        <v>1</v>
      </c>
      <c r="E1537" s="1523">
        <v>1</v>
      </c>
      <c r="F1537" s="1524">
        <v>2</v>
      </c>
      <c r="G1537" s="1537" t="s">
        <v>5495</v>
      </c>
      <c r="H1537" s="1521">
        <v>1</v>
      </c>
      <c r="I1537" s="1521">
        <v>1</v>
      </c>
      <c r="J1537" s="1538">
        <v>2</v>
      </c>
      <c r="K1537" s="1525"/>
      <c r="L1537" s="1519">
        <v>13135050309</v>
      </c>
      <c r="M1537" s="1520">
        <v>1</v>
      </c>
      <c r="N1537" s="1520">
        <v>1</v>
      </c>
      <c r="O1537" s="1521">
        <v>2</v>
      </c>
    </row>
    <row r="1538" spans="3:15" ht="13.5">
      <c r="C1538" s="1526" t="s">
        <v>5496</v>
      </c>
      <c r="D1538" s="1523">
        <v>1</v>
      </c>
      <c r="E1538" s="1523">
        <v>1</v>
      </c>
      <c r="F1538" s="1524">
        <v>2</v>
      </c>
      <c r="G1538" s="1537" t="s">
        <v>5496</v>
      </c>
      <c r="H1538" s="1521">
        <v>1</v>
      </c>
      <c r="I1538" s="1521">
        <v>1</v>
      </c>
      <c r="J1538" s="1538">
        <v>2</v>
      </c>
      <c r="K1538" s="1525"/>
      <c r="L1538" s="1519">
        <v>13135050310</v>
      </c>
      <c r="M1538" s="1520">
        <v>1</v>
      </c>
      <c r="N1538" s="1520">
        <v>1</v>
      </c>
      <c r="O1538" s="1521">
        <v>2</v>
      </c>
    </row>
    <row r="1539" spans="3:15" ht="13.5">
      <c r="C1539" s="1526" t="s">
        <v>5497</v>
      </c>
      <c r="D1539" s="1523">
        <v>1</v>
      </c>
      <c r="E1539" s="1523">
        <v>1</v>
      </c>
      <c r="F1539" s="1524">
        <v>2</v>
      </c>
      <c r="G1539" s="1537" t="s">
        <v>5497</v>
      </c>
      <c r="H1539" s="1521">
        <v>1</v>
      </c>
      <c r="I1539" s="1521">
        <v>0</v>
      </c>
      <c r="J1539" s="1538">
        <v>1</v>
      </c>
      <c r="K1539" s="1525"/>
      <c r="L1539" s="1519">
        <v>13135050311</v>
      </c>
      <c r="M1539" s="1520">
        <v>1</v>
      </c>
      <c r="N1539" s="1520">
        <v>1</v>
      </c>
      <c r="O1539" s="1521">
        <v>2</v>
      </c>
    </row>
    <row r="1540" spans="3:15" ht="13.5">
      <c r="C1540" s="1526" t="s">
        <v>5498</v>
      </c>
      <c r="D1540" s="1523">
        <v>0</v>
      </c>
      <c r="E1540" s="1523">
        <v>0</v>
      </c>
      <c r="F1540" s="1524">
        <v>0</v>
      </c>
      <c r="G1540" s="1537" t="s">
        <v>5498</v>
      </c>
      <c r="H1540" s="1521">
        <v>0</v>
      </c>
      <c r="I1540" s="1521">
        <v>0</v>
      </c>
      <c r="J1540" s="1538">
        <v>0</v>
      </c>
      <c r="K1540" s="1525"/>
      <c r="L1540" s="1519">
        <v>13135050313</v>
      </c>
      <c r="M1540" s="1520">
        <v>0</v>
      </c>
      <c r="N1540" s="1520">
        <v>0</v>
      </c>
      <c r="O1540" s="1521">
        <v>0</v>
      </c>
    </row>
    <row r="1541" spans="3:15" ht="13.5">
      <c r="C1541" s="1526" t="s">
        <v>5499</v>
      </c>
      <c r="D1541" s="1523">
        <v>1</v>
      </c>
      <c r="E1541" s="1523">
        <v>0</v>
      </c>
      <c r="F1541" s="1524">
        <v>1</v>
      </c>
      <c r="G1541" s="1537" t="s">
        <v>5499</v>
      </c>
      <c r="H1541" s="1521">
        <v>1</v>
      </c>
      <c r="I1541" s="1521">
        <v>0</v>
      </c>
      <c r="J1541" s="1538">
        <v>1</v>
      </c>
      <c r="K1541" s="1525"/>
      <c r="L1541" s="1519">
        <v>13135050314</v>
      </c>
      <c r="M1541" s="1520">
        <v>1</v>
      </c>
      <c r="N1541" s="1520">
        <v>0</v>
      </c>
      <c r="O1541" s="1521">
        <v>1</v>
      </c>
    </row>
    <row r="1542" spans="3:15" ht="13.5">
      <c r="C1542" s="1526" t="s">
        <v>5500</v>
      </c>
      <c r="D1542" s="1523">
        <v>1</v>
      </c>
      <c r="E1542" s="1523">
        <v>0</v>
      </c>
      <c r="F1542" s="1524">
        <v>1</v>
      </c>
      <c r="G1542" s="1537" t="s">
        <v>5500</v>
      </c>
      <c r="H1542" s="1521">
        <v>1</v>
      </c>
      <c r="I1542" s="1521">
        <v>0</v>
      </c>
      <c r="J1542" s="1538">
        <v>1</v>
      </c>
      <c r="K1542" s="1525"/>
      <c r="L1542" s="1519">
        <v>13135050315</v>
      </c>
      <c r="M1542" s="1520">
        <v>1</v>
      </c>
      <c r="N1542" s="1520">
        <v>0</v>
      </c>
      <c r="O1542" s="1521">
        <v>1</v>
      </c>
    </row>
    <row r="1543" spans="3:15" ht="13.5">
      <c r="C1543" s="1526" t="s">
        <v>5501</v>
      </c>
      <c r="D1543" s="1523">
        <v>0</v>
      </c>
      <c r="E1543" s="1523">
        <v>0</v>
      </c>
      <c r="F1543" s="1524">
        <v>0</v>
      </c>
      <c r="G1543" s="1537" t="s">
        <v>5501</v>
      </c>
      <c r="H1543" s="1521">
        <v>1</v>
      </c>
      <c r="I1543" s="1521" t="s">
        <v>4096</v>
      </c>
      <c r="J1543" s="1538">
        <v>1</v>
      </c>
      <c r="K1543" s="1525"/>
      <c r="L1543" s="1519">
        <v>13135050317</v>
      </c>
      <c r="M1543" s="1520">
        <v>1</v>
      </c>
      <c r="N1543" s="1520">
        <v>0</v>
      </c>
      <c r="O1543" s="1521">
        <v>1</v>
      </c>
    </row>
    <row r="1544" spans="3:15" ht="13.5">
      <c r="C1544" s="1526" t="s">
        <v>5502</v>
      </c>
      <c r="D1544" s="1523">
        <v>1</v>
      </c>
      <c r="E1544" s="1523">
        <v>0</v>
      </c>
      <c r="F1544" s="1524">
        <v>1</v>
      </c>
      <c r="G1544" s="1537" t="s">
        <v>5502</v>
      </c>
      <c r="H1544" s="1521">
        <v>1</v>
      </c>
      <c r="I1544" s="1521" t="s">
        <v>4096</v>
      </c>
      <c r="J1544" s="1538">
        <v>1</v>
      </c>
      <c r="K1544" s="1525"/>
      <c r="L1544" s="1519">
        <v>13135050318</v>
      </c>
      <c r="M1544" s="1520">
        <v>1</v>
      </c>
      <c r="N1544" s="1520">
        <v>0</v>
      </c>
      <c r="O1544" s="1521">
        <v>1</v>
      </c>
    </row>
    <row r="1545" spans="3:15" ht="13.5">
      <c r="C1545" s="1526" t="s">
        <v>5503</v>
      </c>
      <c r="D1545" s="1523">
        <v>0</v>
      </c>
      <c r="E1545" s="1523">
        <v>0</v>
      </c>
      <c r="F1545" s="1524">
        <v>0</v>
      </c>
      <c r="G1545" s="1537" t="s">
        <v>5503</v>
      </c>
      <c r="H1545" s="1521">
        <v>0</v>
      </c>
      <c r="I1545" s="1521" t="s">
        <v>4096</v>
      </c>
      <c r="J1545" s="1538">
        <v>0</v>
      </c>
      <c r="K1545" s="1525"/>
      <c r="L1545" s="1519">
        <v>13135050319</v>
      </c>
      <c r="M1545" s="1520">
        <v>0</v>
      </c>
      <c r="N1545" s="1520">
        <v>0</v>
      </c>
      <c r="O1545" s="1521">
        <v>0</v>
      </c>
    </row>
    <row r="1546" spans="3:15" ht="13.5">
      <c r="C1546" s="1526" t="s">
        <v>5504</v>
      </c>
      <c r="D1546" s="1523">
        <v>0</v>
      </c>
      <c r="E1546" s="1523">
        <v>0</v>
      </c>
      <c r="F1546" s="1524">
        <v>0</v>
      </c>
      <c r="G1546" s="1537" t="s">
        <v>5504</v>
      </c>
      <c r="H1546" s="1521">
        <v>0</v>
      </c>
      <c r="I1546" s="1521" t="s">
        <v>4096</v>
      </c>
      <c r="J1546" s="1538">
        <v>0</v>
      </c>
      <c r="K1546" s="1525"/>
      <c r="L1546" s="1519">
        <v>13135050320</v>
      </c>
      <c r="M1546" s="1520">
        <v>0</v>
      </c>
      <c r="N1546" s="1520">
        <v>0</v>
      </c>
      <c r="O1546" s="1521">
        <v>0</v>
      </c>
    </row>
    <row r="1547" spans="3:15" ht="13.5">
      <c r="C1547" s="1526" t="s">
        <v>5505</v>
      </c>
      <c r="D1547" s="1523">
        <v>1</v>
      </c>
      <c r="E1547" s="1523">
        <v>1</v>
      </c>
      <c r="F1547" s="1524">
        <v>2</v>
      </c>
      <c r="G1547" s="1537" t="s">
        <v>5505</v>
      </c>
      <c r="H1547" s="1521">
        <v>1</v>
      </c>
      <c r="I1547" s="1521">
        <v>1</v>
      </c>
      <c r="J1547" s="1538">
        <v>2</v>
      </c>
      <c r="K1547" s="1525"/>
      <c r="L1547" s="1519">
        <v>13135050321</v>
      </c>
      <c r="M1547" s="1520">
        <v>1</v>
      </c>
      <c r="N1547" s="1520">
        <v>1</v>
      </c>
      <c r="O1547" s="1521">
        <v>2</v>
      </c>
    </row>
    <row r="1548" spans="3:15" ht="13.5">
      <c r="C1548" s="1526" t="s">
        <v>5506</v>
      </c>
      <c r="D1548" s="1523">
        <v>1</v>
      </c>
      <c r="E1548" s="1523">
        <v>1</v>
      </c>
      <c r="F1548" s="1524">
        <v>2</v>
      </c>
      <c r="G1548" s="1537" t="s">
        <v>5506</v>
      </c>
      <c r="H1548" s="1521">
        <v>1</v>
      </c>
      <c r="I1548" s="1521">
        <v>1</v>
      </c>
      <c r="J1548" s="1538">
        <v>2</v>
      </c>
      <c r="K1548" s="1525"/>
      <c r="L1548" s="1519">
        <v>13135050322</v>
      </c>
      <c r="M1548" s="1520">
        <v>1</v>
      </c>
      <c r="N1548" s="1520">
        <v>1</v>
      </c>
      <c r="O1548" s="1521">
        <v>2</v>
      </c>
    </row>
    <row r="1549" spans="3:15" ht="13.5">
      <c r="C1549" s="1526" t="s">
        <v>5507</v>
      </c>
      <c r="D1549" s="1523">
        <v>0</v>
      </c>
      <c r="E1549" s="1523">
        <v>0</v>
      </c>
      <c r="F1549" s="1524">
        <v>0</v>
      </c>
      <c r="G1549" s="1537" t="s">
        <v>5507</v>
      </c>
      <c r="H1549" s="1521">
        <v>1</v>
      </c>
      <c r="I1549" s="1521">
        <v>0</v>
      </c>
      <c r="J1549" s="1538">
        <v>1</v>
      </c>
      <c r="K1549" s="1525"/>
      <c r="L1549" s="1519">
        <v>13135050410</v>
      </c>
      <c r="M1549" s="1520">
        <v>1</v>
      </c>
      <c r="N1549" s="1520">
        <v>0</v>
      </c>
      <c r="O1549" s="1521">
        <v>1</v>
      </c>
    </row>
    <row r="1550" spans="3:15" ht="13.5">
      <c r="C1550" s="1526" t="s">
        <v>5508</v>
      </c>
      <c r="D1550" s="1523">
        <v>1</v>
      </c>
      <c r="E1550" s="1523">
        <v>1</v>
      </c>
      <c r="F1550" s="1524">
        <v>2</v>
      </c>
      <c r="G1550" s="1537" t="s">
        <v>5508</v>
      </c>
      <c r="H1550" s="1521">
        <v>1</v>
      </c>
      <c r="I1550" s="1521">
        <v>1</v>
      </c>
      <c r="J1550" s="1538">
        <v>2</v>
      </c>
      <c r="K1550" s="1525"/>
      <c r="L1550" s="1519">
        <v>13135050415</v>
      </c>
      <c r="M1550" s="1520">
        <v>1</v>
      </c>
      <c r="N1550" s="1520">
        <v>1</v>
      </c>
      <c r="O1550" s="1521">
        <v>2</v>
      </c>
    </row>
    <row r="1551" spans="3:15" ht="13.5">
      <c r="C1551" s="1526" t="s">
        <v>5509</v>
      </c>
      <c r="D1551" s="1523">
        <v>0</v>
      </c>
      <c r="E1551" s="1523">
        <v>0</v>
      </c>
      <c r="F1551" s="1524">
        <v>0</v>
      </c>
      <c r="G1551" s="1537" t="s">
        <v>5509</v>
      </c>
      <c r="H1551" s="1521">
        <v>0</v>
      </c>
      <c r="I1551" s="1521">
        <v>0</v>
      </c>
      <c r="J1551" s="1538">
        <v>0</v>
      </c>
      <c r="K1551" s="1525"/>
      <c r="L1551" s="1519">
        <v>13135050416</v>
      </c>
      <c r="M1551" s="1520">
        <v>0</v>
      </c>
      <c r="N1551" s="1520">
        <v>0</v>
      </c>
      <c r="O1551" s="1521">
        <v>0</v>
      </c>
    </row>
    <row r="1552" spans="3:15" ht="13.5">
      <c r="C1552" s="1526" t="s">
        <v>5510</v>
      </c>
      <c r="D1552" s="1523">
        <v>0</v>
      </c>
      <c r="E1552" s="1523">
        <v>0</v>
      </c>
      <c r="F1552" s="1524">
        <v>0</v>
      </c>
      <c r="G1552" s="1537" t="s">
        <v>5510</v>
      </c>
      <c r="H1552" s="1521">
        <v>0</v>
      </c>
      <c r="I1552" s="1521" t="s">
        <v>4096</v>
      </c>
      <c r="J1552" s="1538">
        <v>0</v>
      </c>
      <c r="K1552" s="1525"/>
      <c r="L1552" s="1519">
        <v>13135050417</v>
      </c>
      <c r="M1552" s="1520">
        <v>0</v>
      </c>
      <c r="N1552" s="1520">
        <v>0</v>
      </c>
      <c r="O1552" s="1521">
        <v>0</v>
      </c>
    </row>
    <row r="1553" spans="3:15" ht="13.5">
      <c r="C1553" s="1526" t="s">
        <v>5511</v>
      </c>
      <c r="D1553" s="1523">
        <v>0</v>
      </c>
      <c r="E1553" s="1523">
        <v>0</v>
      </c>
      <c r="F1553" s="1524">
        <v>0</v>
      </c>
      <c r="G1553" s="1537" t="s">
        <v>5511</v>
      </c>
      <c r="H1553" s="1521">
        <v>0</v>
      </c>
      <c r="I1553" s="1521">
        <v>0</v>
      </c>
      <c r="J1553" s="1538">
        <v>0</v>
      </c>
      <c r="K1553" s="1525"/>
      <c r="L1553" s="1519">
        <v>13135050418</v>
      </c>
      <c r="M1553" s="1520">
        <v>0</v>
      </c>
      <c r="N1553" s="1520">
        <v>0</v>
      </c>
      <c r="O1553" s="1521">
        <v>0</v>
      </c>
    </row>
    <row r="1554" spans="3:15" ht="13.5">
      <c r="C1554" s="1526" t="s">
        <v>5512</v>
      </c>
      <c r="D1554" s="1523">
        <v>0</v>
      </c>
      <c r="E1554" s="1523">
        <v>0</v>
      </c>
      <c r="F1554" s="1524">
        <v>0</v>
      </c>
      <c r="G1554" s="1537" t="s">
        <v>5512</v>
      </c>
      <c r="H1554" s="1521">
        <v>0</v>
      </c>
      <c r="I1554" s="1521" t="s">
        <v>4096</v>
      </c>
      <c r="J1554" s="1538">
        <v>0</v>
      </c>
      <c r="K1554" s="1525"/>
      <c r="L1554" s="1519">
        <v>13135050419</v>
      </c>
      <c r="M1554" s="1520">
        <v>0</v>
      </c>
      <c r="N1554" s="1520">
        <v>0</v>
      </c>
      <c r="O1554" s="1521">
        <v>0</v>
      </c>
    </row>
    <row r="1555" spans="3:15" ht="13.5">
      <c r="C1555" s="1526" t="s">
        <v>5513</v>
      </c>
      <c r="D1555" s="1523">
        <v>0</v>
      </c>
      <c r="E1555" s="1523">
        <v>0</v>
      </c>
      <c r="F1555" s="1524">
        <v>0</v>
      </c>
      <c r="G1555" s="1537" t="s">
        <v>5513</v>
      </c>
      <c r="H1555" s="1521">
        <v>0</v>
      </c>
      <c r="I1555" s="1521">
        <v>0</v>
      </c>
      <c r="J1555" s="1538">
        <v>0</v>
      </c>
      <c r="K1555" s="1525"/>
      <c r="L1555" s="1519">
        <v>13135050421</v>
      </c>
      <c r="M1555" s="1520">
        <v>0</v>
      </c>
      <c r="N1555" s="1520">
        <v>0</v>
      </c>
      <c r="O1555" s="1521">
        <v>0</v>
      </c>
    </row>
    <row r="1556" spans="3:15" ht="13.5">
      <c r="C1556" s="1526" t="s">
        <v>5514</v>
      </c>
      <c r="D1556" s="1523">
        <v>0</v>
      </c>
      <c r="E1556" s="1523">
        <v>0</v>
      </c>
      <c r="F1556" s="1524">
        <v>0</v>
      </c>
      <c r="G1556" s="1537" t="s">
        <v>5514</v>
      </c>
      <c r="H1556" s="1521">
        <v>0</v>
      </c>
      <c r="I1556" s="1521">
        <v>0</v>
      </c>
      <c r="J1556" s="1538">
        <v>0</v>
      </c>
      <c r="K1556" s="1525"/>
      <c r="L1556" s="1519">
        <v>13135050422</v>
      </c>
      <c r="M1556" s="1520">
        <v>0</v>
      </c>
      <c r="N1556" s="1520">
        <v>0</v>
      </c>
      <c r="O1556" s="1521">
        <v>0</v>
      </c>
    </row>
    <row r="1557" spans="3:15" ht="13.5">
      <c r="C1557" s="1526" t="s">
        <v>5515</v>
      </c>
      <c r="D1557" s="1523">
        <v>0</v>
      </c>
      <c r="E1557" s="1523">
        <v>0</v>
      </c>
      <c r="F1557" s="1524">
        <v>0</v>
      </c>
      <c r="G1557" s="1537" t="s">
        <v>5515</v>
      </c>
      <c r="H1557" s="1521">
        <v>0</v>
      </c>
      <c r="I1557" s="1521" t="s">
        <v>4096</v>
      </c>
      <c r="J1557" s="1538">
        <v>0</v>
      </c>
      <c r="K1557" s="1525"/>
      <c r="L1557" s="1519">
        <v>13135050423</v>
      </c>
      <c r="M1557" s="1520">
        <v>0</v>
      </c>
      <c r="N1557" s="1520">
        <v>0</v>
      </c>
      <c r="O1557" s="1521">
        <v>0</v>
      </c>
    </row>
    <row r="1558" spans="3:15" ht="13.5">
      <c r="C1558" s="1526" t="s">
        <v>5516</v>
      </c>
      <c r="D1558" s="1523">
        <v>0</v>
      </c>
      <c r="E1558" s="1523">
        <v>0</v>
      </c>
      <c r="F1558" s="1524">
        <v>0</v>
      </c>
      <c r="G1558" s="1537" t="s">
        <v>5516</v>
      </c>
      <c r="H1558" s="1521">
        <v>0</v>
      </c>
      <c r="I1558" s="1521" t="s">
        <v>4096</v>
      </c>
      <c r="J1558" s="1538">
        <v>0</v>
      </c>
      <c r="K1558" s="1525"/>
      <c r="L1558" s="1519">
        <v>13135050424</v>
      </c>
      <c r="M1558" s="1520">
        <v>0</v>
      </c>
      <c r="N1558" s="1520">
        <v>0</v>
      </c>
      <c r="O1558" s="1521">
        <v>0</v>
      </c>
    </row>
    <row r="1559" spans="3:15" ht="13.5">
      <c r="C1559" s="1526" t="s">
        <v>5517</v>
      </c>
      <c r="D1559" s="1523">
        <v>1</v>
      </c>
      <c r="E1559" s="1523">
        <v>1</v>
      </c>
      <c r="F1559" s="1524">
        <v>2</v>
      </c>
      <c r="G1559" s="1537" t="s">
        <v>5517</v>
      </c>
      <c r="H1559" s="1521">
        <v>1</v>
      </c>
      <c r="I1559" s="1521">
        <v>1</v>
      </c>
      <c r="J1559" s="1538">
        <v>2</v>
      </c>
      <c r="K1559" s="1525"/>
      <c r="L1559" s="1519">
        <v>13135050425</v>
      </c>
      <c r="M1559" s="1520">
        <v>1</v>
      </c>
      <c r="N1559" s="1520">
        <v>1</v>
      </c>
      <c r="O1559" s="1521">
        <v>2</v>
      </c>
    </row>
    <row r="1560" spans="3:15" ht="13.5">
      <c r="C1560" s="1526" t="s">
        <v>5518</v>
      </c>
      <c r="D1560" s="1523">
        <v>1</v>
      </c>
      <c r="E1560" s="1523">
        <v>1</v>
      </c>
      <c r="F1560" s="1524">
        <v>2</v>
      </c>
      <c r="G1560" s="1537" t="s">
        <v>5518</v>
      </c>
      <c r="H1560" s="1521">
        <v>1</v>
      </c>
      <c r="I1560" s="1521">
        <v>1</v>
      </c>
      <c r="J1560" s="1538">
        <v>2</v>
      </c>
      <c r="K1560" s="1525"/>
      <c r="L1560" s="1519">
        <v>13135050426</v>
      </c>
      <c r="M1560" s="1520">
        <v>1</v>
      </c>
      <c r="N1560" s="1520">
        <v>1</v>
      </c>
      <c r="O1560" s="1521">
        <v>2</v>
      </c>
    </row>
    <row r="1561" spans="3:15" ht="13.5">
      <c r="C1561" s="1526" t="s">
        <v>5519</v>
      </c>
      <c r="D1561" s="1523">
        <v>1</v>
      </c>
      <c r="E1561" s="1523">
        <v>1</v>
      </c>
      <c r="F1561" s="1524">
        <v>2</v>
      </c>
      <c r="G1561" s="1537" t="s">
        <v>5519</v>
      </c>
      <c r="H1561" s="1521">
        <v>1</v>
      </c>
      <c r="I1561" s="1521">
        <v>1</v>
      </c>
      <c r="J1561" s="1538">
        <v>2</v>
      </c>
      <c r="K1561" s="1525"/>
      <c r="L1561" s="1519">
        <v>13135050427</v>
      </c>
      <c r="M1561" s="1520">
        <v>1</v>
      </c>
      <c r="N1561" s="1520">
        <v>1</v>
      </c>
      <c r="O1561" s="1521">
        <v>2</v>
      </c>
    </row>
    <row r="1562" spans="3:15" ht="13.5">
      <c r="C1562" s="1526" t="s">
        <v>5520</v>
      </c>
      <c r="D1562" s="1523">
        <v>1</v>
      </c>
      <c r="E1562" s="1523">
        <v>1</v>
      </c>
      <c r="F1562" s="1524">
        <v>2</v>
      </c>
      <c r="G1562" s="1537" t="s">
        <v>5520</v>
      </c>
      <c r="H1562" s="1521">
        <v>1</v>
      </c>
      <c r="I1562" s="1521">
        <v>1</v>
      </c>
      <c r="J1562" s="1538">
        <v>2</v>
      </c>
      <c r="K1562" s="1525"/>
      <c r="L1562" s="1519">
        <v>13135050428</v>
      </c>
      <c r="M1562" s="1520">
        <v>1</v>
      </c>
      <c r="N1562" s="1520">
        <v>1</v>
      </c>
      <c r="O1562" s="1521">
        <v>2</v>
      </c>
    </row>
    <row r="1563" spans="3:15" ht="13.5">
      <c r="C1563" s="1526" t="s">
        <v>5521</v>
      </c>
      <c r="D1563" s="1523">
        <v>1</v>
      </c>
      <c r="E1563" s="1523">
        <v>1</v>
      </c>
      <c r="F1563" s="1524">
        <v>2</v>
      </c>
      <c r="G1563" s="1537" t="s">
        <v>5521</v>
      </c>
      <c r="H1563" s="1521">
        <v>1</v>
      </c>
      <c r="I1563" s="1521">
        <v>1</v>
      </c>
      <c r="J1563" s="1538">
        <v>2</v>
      </c>
      <c r="K1563" s="1525"/>
      <c r="L1563" s="1519">
        <v>13135050429</v>
      </c>
      <c r="M1563" s="1520">
        <v>1</v>
      </c>
      <c r="N1563" s="1520">
        <v>1</v>
      </c>
      <c r="O1563" s="1521">
        <v>2</v>
      </c>
    </row>
    <row r="1564" spans="3:15" ht="13.5">
      <c r="C1564" s="1526" t="s">
        <v>5522</v>
      </c>
      <c r="D1564" s="1523">
        <v>1</v>
      </c>
      <c r="E1564" s="1523">
        <v>1</v>
      </c>
      <c r="F1564" s="1524">
        <v>2</v>
      </c>
      <c r="G1564" s="1537" t="s">
        <v>5522</v>
      </c>
      <c r="H1564" s="1521">
        <v>1</v>
      </c>
      <c r="I1564" s="1521">
        <v>0</v>
      </c>
      <c r="J1564" s="1538">
        <v>1</v>
      </c>
      <c r="K1564" s="1525"/>
      <c r="L1564" s="1519">
        <v>13135050430</v>
      </c>
      <c r="M1564" s="1520">
        <v>1</v>
      </c>
      <c r="N1564" s="1520">
        <v>1</v>
      </c>
      <c r="O1564" s="1521">
        <v>2</v>
      </c>
    </row>
    <row r="1565" spans="3:15" ht="13.5">
      <c r="C1565" s="1526" t="s">
        <v>5523</v>
      </c>
      <c r="D1565" s="1523">
        <v>0</v>
      </c>
      <c r="E1565" s="1523">
        <v>0</v>
      </c>
      <c r="F1565" s="1524">
        <v>0</v>
      </c>
      <c r="G1565" s="1537" t="s">
        <v>5523</v>
      </c>
      <c r="H1565" s="1521">
        <v>0</v>
      </c>
      <c r="I1565" s="1521">
        <v>0</v>
      </c>
      <c r="J1565" s="1538">
        <v>0</v>
      </c>
      <c r="K1565" s="1525"/>
      <c r="L1565" s="1519">
        <v>13135050431</v>
      </c>
      <c r="M1565" s="1520">
        <v>0</v>
      </c>
      <c r="N1565" s="1520">
        <v>0</v>
      </c>
      <c r="O1565" s="1521">
        <v>0</v>
      </c>
    </row>
    <row r="1566" spans="3:15" ht="13.5">
      <c r="C1566" s="1526" t="s">
        <v>5524</v>
      </c>
      <c r="D1566" s="1523">
        <v>1</v>
      </c>
      <c r="E1566" s="1523">
        <v>1</v>
      </c>
      <c r="F1566" s="1524">
        <v>2</v>
      </c>
      <c r="G1566" s="1537" t="s">
        <v>5524</v>
      </c>
      <c r="H1566" s="1521">
        <v>1</v>
      </c>
      <c r="I1566" s="1521" t="s">
        <v>4096</v>
      </c>
      <c r="J1566" s="1538">
        <v>1</v>
      </c>
      <c r="K1566" s="1525"/>
      <c r="L1566" s="1519">
        <v>13135050432</v>
      </c>
      <c r="M1566" s="1520">
        <v>1</v>
      </c>
      <c r="N1566" s="1520">
        <v>1</v>
      </c>
      <c r="O1566" s="1521">
        <v>2</v>
      </c>
    </row>
    <row r="1567" spans="3:15" ht="13.5">
      <c r="C1567" s="1526" t="s">
        <v>5525</v>
      </c>
      <c r="D1567" s="1523">
        <v>0</v>
      </c>
      <c r="E1567" s="1523">
        <v>0</v>
      </c>
      <c r="F1567" s="1524">
        <v>0</v>
      </c>
      <c r="G1567" s="1537" t="s">
        <v>5525</v>
      </c>
      <c r="H1567" s="1521">
        <v>1</v>
      </c>
      <c r="I1567" s="1521">
        <v>0</v>
      </c>
      <c r="J1567" s="1538">
        <v>1</v>
      </c>
      <c r="K1567" s="1525"/>
      <c r="L1567" s="1519">
        <v>13135050433</v>
      </c>
      <c r="M1567" s="1520">
        <v>1</v>
      </c>
      <c r="N1567" s="1520">
        <v>0</v>
      </c>
      <c r="O1567" s="1521">
        <v>1</v>
      </c>
    </row>
    <row r="1568" spans="3:15" ht="13.5">
      <c r="C1568" s="1526" t="s">
        <v>5526</v>
      </c>
      <c r="D1568" s="1523">
        <v>0</v>
      </c>
      <c r="E1568" s="1523">
        <v>0</v>
      </c>
      <c r="F1568" s="1524">
        <v>0</v>
      </c>
      <c r="G1568" s="1537" t="s">
        <v>5526</v>
      </c>
      <c r="H1568" s="1521">
        <v>1</v>
      </c>
      <c r="I1568" s="1521">
        <v>0</v>
      </c>
      <c r="J1568" s="1538">
        <v>1</v>
      </c>
      <c r="K1568" s="1525"/>
      <c r="L1568" s="1519">
        <v>13135050434</v>
      </c>
      <c r="M1568" s="1520">
        <v>1</v>
      </c>
      <c r="N1568" s="1520">
        <v>0</v>
      </c>
      <c r="O1568" s="1521">
        <v>1</v>
      </c>
    </row>
    <row r="1569" spans="3:15" ht="13.5">
      <c r="C1569" s="1526" t="s">
        <v>5527</v>
      </c>
      <c r="D1569" s="1523">
        <v>1</v>
      </c>
      <c r="E1569" s="1523">
        <v>0</v>
      </c>
      <c r="F1569" s="1524">
        <v>1</v>
      </c>
      <c r="G1569" s="1537" t="s">
        <v>5527</v>
      </c>
      <c r="H1569" s="1521">
        <v>0</v>
      </c>
      <c r="I1569" s="1521">
        <v>0</v>
      </c>
      <c r="J1569" s="1538">
        <v>0</v>
      </c>
      <c r="K1569" s="1525"/>
      <c r="L1569" s="1519">
        <v>13135050435</v>
      </c>
      <c r="M1569" s="1520">
        <v>1</v>
      </c>
      <c r="N1569" s="1520">
        <v>0</v>
      </c>
      <c r="O1569" s="1521">
        <v>1</v>
      </c>
    </row>
    <row r="1570" spans="3:15" ht="13.5">
      <c r="C1570" s="1526" t="s">
        <v>5528</v>
      </c>
      <c r="D1570" s="1523">
        <v>0</v>
      </c>
      <c r="E1570" s="1523">
        <v>0</v>
      </c>
      <c r="F1570" s="1524">
        <v>0</v>
      </c>
      <c r="G1570" s="1537" t="s">
        <v>5528</v>
      </c>
      <c r="H1570" s="1521">
        <v>0</v>
      </c>
      <c r="I1570" s="1521">
        <v>0</v>
      </c>
      <c r="J1570" s="1538">
        <v>0</v>
      </c>
      <c r="K1570" s="1525"/>
      <c r="L1570" s="1519">
        <v>13135050436</v>
      </c>
      <c r="M1570" s="1520">
        <v>0</v>
      </c>
      <c r="N1570" s="1520">
        <v>0</v>
      </c>
      <c r="O1570" s="1521">
        <v>0</v>
      </c>
    </row>
    <row r="1571" spans="3:15" ht="13.5">
      <c r="C1571" s="1526" t="s">
        <v>5529</v>
      </c>
      <c r="D1571" s="1523">
        <v>1</v>
      </c>
      <c r="E1571" s="1523">
        <v>0</v>
      </c>
      <c r="F1571" s="1524">
        <v>1</v>
      </c>
      <c r="G1571" s="1537" t="s">
        <v>5529</v>
      </c>
      <c r="H1571" s="1521">
        <v>0</v>
      </c>
      <c r="I1571" s="1521">
        <v>0</v>
      </c>
      <c r="J1571" s="1538">
        <v>0</v>
      </c>
      <c r="K1571" s="1525"/>
      <c r="L1571" s="1519">
        <v>13135050511</v>
      </c>
      <c r="M1571" s="1520">
        <v>1</v>
      </c>
      <c r="N1571" s="1520">
        <v>0</v>
      </c>
      <c r="O1571" s="1521">
        <v>1</v>
      </c>
    </row>
    <row r="1572" spans="3:15" ht="13.5">
      <c r="C1572" s="1526" t="s">
        <v>5530</v>
      </c>
      <c r="D1572" s="1523">
        <v>0</v>
      </c>
      <c r="E1572" s="1523">
        <v>0</v>
      </c>
      <c r="F1572" s="1524">
        <v>0</v>
      </c>
      <c r="G1572" s="1537" t="s">
        <v>5530</v>
      </c>
      <c r="H1572" s="1521">
        <v>0</v>
      </c>
      <c r="I1572" s="1521">
        <v>0</v>
      </c>
      <c r="J1572" s="1538">
        <v>0</v>
      </c>
      <c r="K1572" s="1525"/>
      <c r="L1572" s="1519">
        <v>13135050520</v>
      </c>
      <c r="M1572" s="1520">
        <v>0</v>
      </c>
      <c r="N1572" s="1520">
        <v>0</v>
      </c>
      <c r="O1572" s="1521">
        <v>0</v>
      </c>
    </row>
    <row r="1573" spans="3:15" ht="13.5">
      <c r="C1573" s="1526" t="s">
        <v>5531</v>
      </c>
      <c r="D1573" s="1523">
        <v>0</v>
      </c>
      <c r="E1573" s="1523">
        <v>0</v>
      </c>
      <c r="F1573" s="1524">
        <v>0</v>
      </c>
      <c r="G1573" s="1537" t="s">
        <v>5531</v>
      </c>
      <c r="H1573" s="1521">
        <v>0</v>
      </c>
      <c r="I1573" s="1521">
        <v>0</v>
      </c>
      <c r="J1573" s="1538">
        <v>0</v>
      </c>
      <c r="K1573" s="1525"/>
      <c r="L1573" s="1519">
        <v>13135050521</v>
      </c>
      <c r="M1573" s="1520">
        <v>0</v>
      </c>
      <c r="N1573" s="1520">
        <v>0</v>
      </c>
      <c r="O1573" s="1521">
        <v>0</v>
      </c>
    </row>
    <row r="1574" spans="3:15" ht="13.5">
      <c r="C1574" s="1526" t="s">
        <v>5532</v>
      </c>
      <c r="D1574" s="1523">
        <v>0</v>
      </c>
      <c r="E1574" s="1523">
        <v>0</v>
      </c>
      <c r="F1574" s="1524">
        <v>0</v>
      </c>
      <c r="G1574" s="1537" t="s">
        <v>5532</v>
      </c>
      <c r="H1574" s="1521">
        <v>0</v>
      </c>
      <c r="I1574" s="1521">
        <v>0</v>
      </c>
      <c r="J1574" s="1538">
        <v>0</v>
      </c>
      <c r="K1574" s="1525"/>
      <c r="L1574" s="1519">
        <v>13135050522</v>
      </c>
      <c r="M1574" s="1520">
        <v>0</v>
      </c>
      <c r="N1574" s="1520">
        <v>0</v>
      </c>
      <c r="O1574" s="1521">
        <v>0</v>
      </c>
    </row>
    <row r="1575" spans="3:15" ht="13.5">
      <c r="C1575" s="1526" t="s">
        <v>5533</v>
      </c>
      <c r="D1575" s="1523">
        <v>1</v>
      </c>
      <c r="E1575" s="1523">
        <v>1</v>
      </c>
      <c r="F1575" s="1524">
        <v>2</v>
      </c>
      <c r="G1575" s="1537" t="s">
        <v>5533</v>
      </c>
      <c r="H1575" s="1521">
        <v>0</v>
      </c>
      <c r="I1575" s="1521" t="s">
        <v>4096</v>
      </c>
      <c r="J1575" s="1538">
        <v>0</v>
      </c>
      <c r="K1575" s="1525"/>
      <c r="L1575" s="1519">
        <v>13135050523</v>
      </c>
      <c r="M1575" s="1520">
        <v>1</v>
      </c>
      <c r="N1575" s="1520">
        <v>1</v>
      </c>
      <c r="O1575" s="1521">
        <v>2</v>
      </c>
    </row>
    <row r="1576" spans="3:15" ht="13.5">
      <c r="C1576" s="1526" t="s">
        <v>5534</v>
      </c>
      <c r="D1576" s="1523">
        <v>0</v>
      </c>
      <c r="E1576" s="1523">
        <v>0</v>
      </c>
      <c r="F1576" s="1524">
        <v>0</v>
      </c>
      <c r="G1576" s="1537" t="s">
        <v>5534</v>
      </c>
      <c r="H1576" s="1521">
        <v>0</v>
      </c>
      <c r="I1576" s="1521">
        <v>0</v>
      </c>
      <c r="J1576" s="1538">
        <v>0</v>
      </c>
      <c r="K1576" s="1525"/>
      <c r="L1576" s="1519">
        <v>13135050524</v>
      </c>
      <c r="M1576" s="1520">
        <v>0</v>
      </c>
      <c r="N1576" s="1520">
        <v>0</v>
      </c>
      <c r="O1576" s="1521">
        <v>0</v>
      </c>
    </row>
    <row r="1577" spans="3:15" ht="13.5">
      <c r="C1577" s="1526" t="s">
        <v>5535</v>
      </c>
      <c r="D1577" s="1523">
        <v>1</v>
      </c>
      <c r="E1577" s="1523">
        <v>1</v>
      </c>
      <c r="F1577" s="1524">
        <v>2</v>
      </c>
      <c r="G1577" s="1537" t="s">
        <v>5535</v>
      </c>
      <c r="H1577" s="1521">
        <v>1</v>
      </c>
      <c r="I1577" s="1521">
        <v>1</v>
      </c>
      <c r="J1577" s="1538">
        <v>2</v>
      </c>
      <c r="K1577" s="1525"/>
      <c r="L1577" s="1519">
        <v>13135050525</v>
      </c>
      <c r="M1577" s="1520">
        <v>1</v>
      </c>
      <c r="N1577" s="1520">
        <v>1</v>
      </c>
      <c r="O1577" s="1521">
        <v>2</v>
      </c>
    </row>
    <row r="1578" spans="3:15" ht="13.5">
      <c r="C1578" s="1526" t="s">
        <v>5536</v>
      </c>
      <c r="D1578" s="1523">
        <v>0</v>
      </c>
      <c r="E1578" s="1523">
        <v>0</v>
      </c>
      <c r="F1578" s="1524">
        <v>0</v>
      </c>
      <c r="G1578" s="1537" t="s">
        <v>5536</v>
      </c>
      <c r="H1578" s="1521">
        <v>1</v>
      </c>
      <c r="I1578" s="1521">
        <v>0</v>
      </c>
      <c r="J1578" s="1538">
        <v>1</v>
      </c>
      <c r="K1578" s="1525"/>
      <c r="L1578" s="1519">
        <v>13135050526</v>
      </c>
      <c r="M1578" s="1520">
        <v>1</v>
      </c>
      <c r="N1578" s="1520">
        <v>0</v>
      </c>
      <c r="O1578" s="1521">
        <v>1</v>
      </c>
    </row>
    <row r="1579" spans="3:15" ht="13.5">
      <c r="C1579" s="1526" t="s">
        <v>5537</v>
      </c>
      <c r="D1579" s="1523">
        <v>1</v>
      </c>
      <c r="E1579" s="1523">
        <v>1</v>
      </c>
      <c r="F1579" s="1524">
        <v>2</v>
      </c>
      <c r="G1579" s="1537" t="s">
        <v>5537</v>
      </c>
      <c r="H1579" s="1521">
        <v>1</v>
      </c>
      <c r="I1579" s="1521">
        <v>1</v>
      </c>
      <c r="J1579" s="1538">
        <v>2</v>
      </c>
      <c r="K1579" s="1525"/>
      <c r="L1579" s="1519">
        <v>13135050527</v>
      </c>
      <c r="M1579" s="1520">
        <v>1</v>
      </c>
      <c r="N1579" s="1520">
        <v>1</v>
      </c>
      <c r="O1579" s="1521">
        <v>2</v>
      </c>
    </row>
    <row r="1580" spans="3:15" ht="13.5">
      <c r="C1580" s="1526" t="s">
        <v>5538</v>
      </c>
      <c r="D1580" s="1523">
        <v>1</v>
      </c>
      <c r="E1580" s="1523">
        <v>1</v>
      </c>
      <c r="F1580" s="1524">
        <v>2</v>
      </c>
      <c r="G1580" s="1537" t="s">
        <v>5538</v>
      </c>
      <c r="H1580" s="1521">
        <v>1</v>
      </c>
      <c r="I1580" s="1521">
        <v>1</v>
      </c>
      <c r="J1580" s="1538">
        <v>2</v>
      </c>
      <c r="K1580" s="1525"/>
      <c r="L1580" s="1519">
        <v>13135050528</v>
      </c>
      <c r="M1580" s="1520">
        <v>1</v>
      </c>
      <c r="N1580" s="1520">
        <v>1</v>
      </c>
      <c r="O1580" s="1521">
        <v>2</v>
      </c>
    </row>
    <row r="1581" spans="3:15" ht="13.5">
      <c r="C1581" s="1526" t="s">
        <v>5539</v>
      </c>
      <c r="D1581" s="1523">
        <v>1</v>
      </c>
      <c r="E1581" s="1523">
        <v>0</v>
      </c>
      <c r="F1581" s="1524">
        <v>1</v>
      </c>
      <c r="G1581" s="1537" t="s">
        <v>5539</v>
      </c>
      <c r="H1581" s="1521">
        <v>1</v>
      </c>
      <c r="I1581" s="1521" t="s">
        <v>4096</v>
      </c>
      <c r="J1581" s="1538">
        <v>1</v>
      </c>
      <c r="K1581" s="1525"/>
      <c r="L1581" s="1519">
        <v>13135050529</v>
      </c>
      <c r="M1581" s="1520">
        <v>1</v>
      </c>
      <c r="N1581" s="1520">
        <v>0</v>
      </c>
      <c r="O1581" s="1521">
        <v>1</v>
      </c>
    </row>
    <row r="1582" spans="3:15" ht="13.5">
      <c r="C1582" s="1526" t="s">
        <v>5540</v>
      </c>
      <c r="D1582" s="1523">
        <v>1</v>
      </c>
      <c r="E1582" s="1523">
        <v>1</v>
      </c>
      <c r="F1582" s="1524">
        <v>2</v>
      </c>
      <c r="G1582" s="1537" t="s">
        <v>5540</v>
      </c>
      <c r="H1582" s="1521">
        <v>1</v>
      </c>
      <c r="I1582" s="1521">
        <v>1</v>
      </c>
      <c r="J1582" s="1538">
        <v>2</v>
      </c>
      <c r="K1582" s="1525"/>
      <c r="L1582" s="1519">
        <v>13135050530</v>
      </c>
      <c r="M1582" s="1520">
        <v>1</v>
      </c>
      <c r="N1582" s="1520">
        <v>1</v>
      </c>
      <c r="O1582" s="1521">
        <v>2</v>
      </c>
    </row>
    <row r="1583" spans="3:15" ht="13.5">
      <c r="C1583" s="1526" t="s">
        <v>5541</v>
      </c>
      <c r="D1583" s="1523">
        <v>1</v>
      </c>
      <c r="E1583" s="1523">
        <v>0</v>
      </c>
      <c r="F1583" s="1524">
        <v>1</v>
      </c>
      <c r="G1583" s="1537" t="s">
        <v>5541</v>
      </c>
      <c r="H1583" s="1521">
        <v>0</v>
      </c>
      <c r="I1583" s="1521">
        <v>0</v>
      </c>
      <c r="J1583" s="1538">
        <v>0</v>
      </c>
      <c r="K1583" s="1525"/>
      <c r="L1583" s="1519">
        <v>13135050531</v>
      </c>
      <c r="M1583" s="1520">
        <v>1</v>
      </c>
      <c r="N1583" s="1520">
        <v>0</v>
      </c>
      <c r="O1583" s="1521">
        <v>1</v>
      </c>
    </row>
    <row r="1584" spans="3:15" ht="13.5">
      <c r="C1584" s="1526" t="s">
        <v>5542</v>
      </c>
      <c r="D1584" s="1523">
        <v>1</v>
      </c>
      <c r="E1584" s="1523">
        <v>0</v>
      </c>
      <c r="F1584" s="1524">
        <v>1</v>
      </c>
      <c r="G1584" s="1537" t="s">
        <v>5542</v>
      </c>
      <c r="H1584" s="1521">
        <v>1</v>
      </c>
      <c r="I1584" s="1521">
        <v>0</v>
      </c>
      <c r="J1584" s="1538">
        <v>1</v>
      </c>
      <c r="K1584" s="1525"/>
      <c r="L1584" s="1519">
        <v>13135050532</v>
      </c>
      <c r="M1584" s="1520">
        <v>1</v>
      </c>
      <c r="N1584" s="1520">
        <v>0</v>
      </c>
      <c r="O1584" s="1521">
        <v>1</v>
      </c>
    </row>
    <row r="1585" spans="3:15" ht="13.5">
      <c r="C1585" s="1526" t="s">
        <v>5543</v>
      </c>
      <c r="D1585" s="1523">
        <v>1</v>
      </c>
      <c r="E1585" s="1523">
        <v>0</v>
      </c>
      <c r="F1585" s="1524">
        <v>1</v>
      </c>
      <c r="G1585" s="1537" t="s">
        <v>5543</v>
      </c>
      <c r="H1585" s="1521">
        <v>1</v>
      </c>
      <c r="I1585" s="1521">
        <v>0</v>
      </c>
      <c r="J1585" s="1538">
        <v>1</v>
      </c>
      <c r="K1585" s="1525"/>
      <c r="L1585" s="1519">
        <v>13135050533</v>
      </c>
      <c r="M1585" s="1520">
        <v>1</v>
      </c>
      <c r="N1585" s="1520">
        <v>0</v>
      </c>
      <c r="O1585" s="1521">
        <v>1</v>
      </c>
    </row>
    <row r="1586" spans="3:15" ht="13.5">
      <c r="C1586" s="1526" t="s">
        <v>5544</v>
      </c>
      <c r="D1586" s="1523">
        <v>1</v>
      </c>
      <c r="E1586" s="1523">
        <v>1</v>
      </c>
      <c r="F1586" s="1524">
        <v>2</v>
      </c>
      <c r="G1586" s="1537" t="s">
        <v>5544</v>
      </c>
      <c r="H1586" s="1521">
        <v>1</v>
      </c>
      <c r="I1586" s="1521" t="s">
        <v>4096</v>
      </c>
      <c r="J1586" s="1538">
        <v>1</v>
      </c>
      <c r="K1586" s="1525"/>
      <c r="L1586" s="1519">
        <v>13135050534</v>
      </c>
      <c r="M1586" s="1520">
        <v>1</v>
      </c>
      <c r="N1586" s="1520">
        <v>1</v>
      </c>
      <c r="O1586" s="1521">
        <v>2</v>
      </c>
    </row>
    <row r="1587" spans="3:15" ht="13.5">
      <c r="C1587" s="1526" t="s">
        <v>5545</v>
      </c>
      <c r="D1587" s="1523">
        <v>1</v>
      </c>
      <c r="E1587" s="1523">
        <v>0</v>
      </c>
      <c r="F1587" s="1524">
        <v>1</v>
      </c>
      <c r="G1587" s="1537" t="s">
        <v>5545</v>
      </c>
      <c r="H1587" s="1521">
        <v>1</v>
      </c>
      <c r="I1587" s="1521">
        <v>0</v>
      </c>
      <c r="J1587" s="1538">
        <v>1</v>
      </c>
      <c r="K1587" s="1525"/>
      <c r="L1587" s="1519">
        <v>13135050535</v>
      </c>
      <c r="M1587" s="1520">
        <v>1</v>
      </c>
      <c r="N1587" s="1520">
        <v>0</v>
      </c>
      <c r="O1587" s="1521">
        <v>1</v>
      </c>
    </row>
    <row r="1588" spans="3:15" ht="13.5">
      <c r="C1588" s="1526" t="s">
        <v>5546</v>
      </c>
      <c r="D1588" s="1523">
        <v>1</v>
      </c>
      <c r="E1588" s="1523">
        <v>1</v>
      </c>
      <c r="F1588" s="1524">
        <v>2</v>
      </c>
      <c r="G1588" s="1537" t="s">
        <v>5546</v>
      </c>
      <c r="H1588" s="1521">
        <v>1</v>
      </c>
      <c r="I1588" s="1521">
        <v>0</v>
      </c>
      <c r="J1588" s="1538">
        <v>1</v>
      </c>
      <c r="K1588" s="1525"/>
      <c r="L1588" s="1519">
        <v>13135050536</v>
      </c>
      <c r="M1588" s="1520">
        <v>1</v>
      </c>
      <c r="N1588" s="1520">
        <v>1</v>
      </c>
      <c r="O1588" s="1521">
        <v>2</v>
      </c>
    </row>
    <row r="1589" spans="3:15" ht="13.5">
      <c r="C1589" s="1526" t="s">
        <v>5547</v>
      </c>
      <c r="D1589" s="1523">
        <v>0</v>
      </c>
      <c r="E1589" s="1523">
        <v>0</v>
      </c>
      <c r="F1589" s="1524">
        <v>0</v>
      </c>
      <c r="G1589" s="1537" t="s">
        <v>5547</v>
      </c>
      <c r="H1589" s="1521">
        <v>0</v>
      </c>
      <c r="I1589" s="1521" t="s">
        <v>4096</v>
      </c>
      <c r="J1589" s="1538">
        <v>0</v>
      </c>
      <c r="K1589" s="1525"/>
      <c r="L1589" s="1519">
        <v>13135050537</v>
      </c>
      <c r="M1589" s="1520">
        <v>0</v>
      </c>
      <c r="N1589" s="1520">
        <v>0</v>
      </c>
      <c r="O1589" s="1521">
        <v>0</v>
      </c>
    </row>
    <row r="1590" spans="3:15" ht="13.5">
      <c r="C1590" s="1526" t="s">
        <v>5548</v>
      </c>
      <c r="D1590" s="1523">
        <v>1</v>
      </c>
      <c r="E1590" s="1523">
        <v>1</v>
      </c>
      <c r="F1590" s="1524">
        <v>2</v>
      </c>
      <c r="G1590" s="1537" t="s">
        <v>5548</v>
      </c>
      <c r="H1590" s="1521">
        <v>1</v>
      </c>
      <c r="I1590" s="1521">
        <v>0</v>
      </c>
      <c r="J1590" s="1538">
        <v>1</v>
      </c>
      <c r="K1590" s="1525"/>
      <c r="L1590" s="1519">
        <v>13135050538</v>
      </c>
      <c r="M1590" s="1520">
        <v>1</v>
      </c>
      <c r="N1590" s="1520">
        <v>1</v>
      </c>
      <c r="O1590" s="1521">
        <v>2</v>
      </c>
    </row>
    <row r="1591" spans="3:15" ht="13.5">
      <c r="C1591" s="1526" t="s">
        <v>5549</v>
      </c>
      <c r="D1591" s="1523">
        <v>0</v>
      </c>
      <c r="E1591" s="1523">
        <v>0</v>
      </c>
      <c r="F1591" s="1524">
        <v>0</v>
      </c>
      <c r="G1591" s="1537" t="s">
        <v>5549</v>
      </c>
      <c r="H1591" s="1521">
        <v>0</v>
      </c>
      <c r="I1591" s="1521">
        <v>0</v>
      </c>
      <c r="J1591" s="1538">
        <v>0</v>
      </c>
      <c r="K1591" s="1525"/>
      <c r="L1591" s="1519">
        <v>13135050539</v>
      </c>
      <c r="M1591" s="1520">
        <v>0</v>
      </c>
      <c r="N1591" s="1520">
        <v>0</v>
      </c>
      <c r="O1591" s="1521">
        <v>0</v>
      </c>
    </row>
    <row r="1592" spans="3:15" ht="13.5">
      <c r="C1592" s="1526" t="s">
        <v>5550</v>
      </c>
      <c r="D1592" s="1523">
        <v>1</v>
      </c>
      <c r="E1592" s="1523">
        <v>1</v>
      </c>
      <c r="F1592" s="1524">
        <v>2</v>
      </c>
      <c r="G1592" s="1537" t="s">
        <v>5550</v>
      </c>
      <c r="H1592" s="1521">
        <v>0</v>
      </c>
      <c r="I1592" s="1521">
        <v>0</v>
      </c>
      <c r="J1592" s="1538">
        <v>0</v>
      </c>
      <c r="K1592" s="1525"/>
      <c r="L1592" s="1519">
        <v>13135050540</v>
      </c>
      <c r="M1592" s="1520">
        <v>1</v>
      </c>
      <c r="N1592" s="1520">
        <v>1</v>
      </c>
      <c r="O1592" s="1521">
        <v>2</v>
      </c>
    </row>
    <row r="1593" spans="3:15" ht="13.5">
      <c r="C1593" s="1526" t="s">
        <v>5551</v>
      </c>
      <c r="D1593" s="1523">
        <v>0</v>
      </c>
      <c r="E1593" s="1523">
        <v>0</v>
      </c>
      <c r="F1593" s="1524">
        <v>0</v>
      </c>
      <c r="G1593" s="1537" t="s">
        <v>5551</v>
      </c>
      <c r="H1593" s="1521">
        <v>0</v>
      </c>
      <c r="I1593" s="1521" t="s">
        <v>4096</v>
      </c>
      <c r="J1593" s="1538">
        <v>0</v>
      </c>
      <c r="K1593" s="1525"/>
      <c r="L1593" s="1519">
        <v>13135050541</v>
      </c>
      <c r="M1593" s="1520">
        <v>0</v>
      </c>
      <c r="N1593" s="1520">
        <v>0</v>
      </c>
      <c r="O1593" s="1521">
        <v>0</v>
      </c>
    </row>
    <row r="1594" spans="3:15" ht="13.5">
      <c r="C1594" s="1526" t="s">
        <v>5552</v>
      </c>
      <c r="D1594" s="1523">
        <v>0</v>
      </c>
      <c r="E1594" s="1523">
        <v>0</v>
      </c>
      <c r="F1594" s="1524">
        <v>0</v>
      </c>
      <c r="G1594" s="1537" t="s">
        <v>5552</v>
      </c>
      <c r="H1594" s="1521">
        <v>0</v>
      </c>
      <c r="I1594" s="1521">
        <v>0</v>
      </c>
      <c r="J1594" s="1538">
        <v>0</v>
      </c>
      <c r="K1594" s="1525"/>
      <c r="L1594" s="1519">
        <v>13135050542</v>
      </c>
      <c r="M1594" s="1520">
        <v>0</v>
      </c>
      <c r="N1594" s="1520">
        <v>0</v>
      </c>
      <c r="O1594" s="1521">
        <v>0</v>
      </c>
    </row>
    <row r="1595" spans="3:15" ht="13.5">
      <c r="C1595" s="1526" t="s">
        <v>5553</v>
      </c>
      <c r="D1595" s="1523">
        <v>1</v>
      </c>
      <c r="E1595" s="1523">
        <v>1</v>
      </c>
      <c r="F1595" s="1524">
        <v>2</v>
      </c>
      <c r="G1595" s="1537" t="s">
        <v>5553</v>
      </c>
      <c r="H1595" s="1521">
        <v>1</v>
      </c>
      <c r="I1595" s="1521">
        <v>1</v>
      </c>
      <c r="J1595" s="1538">
        <v>2</v>
      </c>
      <c r="K1595" s="1525"/>
      <c r="L1595" s="1519">
        <v>13135050543</v>
      </c>
      <c r="M1595" s="1520">
        <v>1</v>
      </c>
      <c r="N1595" s="1520">
        <v>1</v>
      </c>
      <c r="O1595" s="1521">
        <v>2</v>
      </c>
    </row>
    <row r="1596" spans="3:15" ht="13.5">
      <c r="C1596" s="1526" t="s">
        <v>5554</v>
      </c>
      <c r="D1596" s="1523">
        <v>1</v>
      </c>
      <c r="E1596" s="1523">
        <v>1</v>
      </c>
      <c r="F1596" s="1524">
        <v>2</v>
      </c>
      <c r="G1596" s="1537" t="s">
        <v>5554</v>
      </c>
      <c r="H1596" s="1521">
        <v>1</v>
      </c>
      <c r="I1596" s="1521">
        <v>1</v>
      </c>
      <c r="J1596" s="1538">
        <v>2</v>
      </c>
      <c r="K1596" s="1525"/>
      <c r="L1596" s="1519">
        <v>13135050544</v>
      </c>
      <c r="M1596" s="1520">
        <v>1</v>
      </c>
      <c r="N1596" s="1520">
        <v>1</v>
      </c>
      <c r="O1596" s="1521">
        <v>2</v>
      </c>
    </row>
    <row r="1597" spans="3:15" ht="13.5">
      <c r="C1597" s="1526" t="s">
        <v>5555</v>
      </c>
      <c r="D1597" s="1523">
        <v>1</v>
      </c>
      <c r="E1597" s="1523">
        <v>0</v>
      </c>
      <c r="F1597" s="1524">
        <v>1</v>
      </c>
      <c r="G1597" s="1537" t="s">
        <v>5555</v>
      </c>
      <c r="H1597" s="1521">
        <v>1</v>
      </c>
      <c r="I1597" s="1521">
        <v>0</v>
      </c>
      <c r="J1597" s="1538">
        <v>1</v>
      </c>
      <c r="K1597" s="1525"/>
      <c r="L1597" s="1519">
        <v>13135050545</v>
      </c>
      <c r="M1597" s="1520">
        <v>1</v>
      </c>
      <c r="N1597" s="1520">
        <v>0</v>
      </c>
      <c r="O1597" s="1521">
        <v>1</v>
      </c>
    </row>
    <row r="1598" spans="3:15" ht="13.5">
      <c r="C1598" s="1526" t="s">
        <v>5556</v>
      </c>
      <c r="D1598" s="1523">
        <v>1</v>
      </c>
      <c r="E1598" s="1523">
        <v>1</v>
      </c>
      <c r="F1598" s="1524">
        <v>2</v>
      </c>
      <c r="G1598" s="1537" t="s">
        <v>5556</v>
      </c>
      <c r="H1598" s="1521">
        <v>1</v>
      </c>
      <c r="I1598" s="1521">
        <v>1</v>
      </c>
      <c r="J1598" s="1538">
        <v>2</v>
      </c>
      <c r="K1598" s="1525"/>
      <c r="L1598" s="1519">
        <v>13135050546</v>
      </c>
      <c r="M1598" s="1520">
        <v>1</v>
      </c>
      <c r="N1598" s="1520">
        <v>1</v>
      </c>
      <c r="O1598" s="1521">
        <v>2</v>
      </c>
    </row>
    <row r="1599" spans="3:15" ht="13.5">
      <c r="C1599" s="1526" t="s">
        <v>5557</v>
      </c>
      <c r="D1599" s="1523">
        <v>1</v>
      </c>
      <c r="E1599" s="1523">
        <v>1</v>
      </c>
      <c r="F1599" s="1524">
        <v>2</v>
      </c>
      <c r="G1599" s="1537" t="s">
        <v>5557</v>
      </c>
      <c r="H1599" s="1521">
        <v>1</v>
      </c>
      <c r="I1599" s="1521">
        <v>1</v>
      </c>
      <c r="J1599" s="1538">
        <v>2</v>
      </c>
      <c r="K1599" s="1525"/>
      <c r="L1599" s="1519">
        <v>13135050547</v>
      </c>
      <c r="M1599" s="1520">
        <v>1</v>
      </c>
      <c r="N1599" s="1520">
        <v>1</v>
      </c>
      <c r="O1599" s="1521">
        <v>2</v>
      </c>
    </row>
    <row r="1600" spans="3:15" ht="13.5">
      <c r="C1600" s="1526" t="s">
        <v>5558</v>
      </c>
      <c r="D1600" s="1523">
        <v>1</v>
      </c>
      <c r="E1600" s="1523">
        <v>1</v>
      </c>
      <c r="F1600" s="1524">
        <v>2</v>
      </c>
      <c r="G1600" s="1537" t="s">
        <v>5558</v>
      </c>
      <c r="H1600" s="1521">
        <v>1</v>
      </c>
      <c r="I1600" s="1521">
        <v>1</v>
      </c>
      <c r="J1600" s="1538">
        <v>2</v>
      </c>
      <c r="K1600" s="1525"/>
      <c r="L1600" s="1519">
        <v>13135050548</v>
      </c>
      <c r="M1600" s="1520">
        <v>1</v>
      </c>
      <c r="N1600" s="1520">
        <v>1</v>
      </c>
      <c r="O1600" s="1521">
        <v>2</v>
      </c>
    </row>
    <row r="1601" spans="3:15" ht="13.5">
      <c r="C1601" s="1526" t="s">
        <v>5559</v>
      </c>
      <c r="D1601" s="1523">
        <v>1</v>
      </c>
      <c r="E1601" s="1523">
        <v>1</v>
      </c>
      <c r="F1601" s="1524">
        <v>2</v>
      </c>
      <c r="G1601" s="1537" t="s">
        <v>5559</v>
      </c>
      <c r="H1601" s="1521">
        <v>1</v>
      </c>
      <c r="I1601" s="1521">
        <v>1</v>
      </c>
      <c r="J1601" s="1538">
        <v>2</v>
      </c>
      <c r="K1601" s="1525"/>
      <c r="L1601" s="1519">
        <v>13135050549</v>
      </c>
      <c r="M1601" s="1520">
        <v>1</v>
      </c>
      <c r="N1601" s="1520">
        <v>1</v>
      </c>
      <c r="O1601" s="1521">
        <v>2</v>
      </c>
    </row>
    <row r="1602" spans="3:15" ht="13.5">
      <c r="C1602" s="1526" t="s">
        <v>5560</v>
      </c>
      <c r="D1602" s="1523">
        <v>1</v>
      </c>
      <c r="E1602" s="1523">
        <v>1</v>
      </c>
      <c r="F1602" s="1524">
        <v>2</v>
      </c>
      <c r="G1602" s="1537" t="s">
        <v>5560</v>
      </c>
      <c r="H1602" s="1521">
        <v>1</v>
      </c>
      <c r="I1602" s="1521">
        <v>1</v>
      </c>
      <c r="J1602" s="1538">
        <v>2</v>
      </c>
      <c r="K1602" s="1525"/>
      <c r="L1602" s="1519">
        <v>13135050605</v>
      </c>
      <c r="M1602" s="1520">
        <v>1</v>
      </c>
      <c r="N1602" s="1520">
        <v>1</v>
      </c>
      <c r="O1602" s="1521">
        <v>2</v>
      </c>
    </row>
    <row r="1603" spans="3:15" ht="13.5">
      <c r="C1603" s="1526" t="s">
        <v>5561</v>
      </c>
      <c r="D1603" s="1523">
        <v>1</v>
      </c>
      <c r="E1603" s="1523">
        <v>1</v>
      </c>
      <c r="F1603" s="1524">
        <v>2</v>
      </c>
      <c r="G1603" s="1537" t="s">
        <v>5561</v>
      </c>
      <c r="H1603" s="1521">
        <v>1</v>
      </c>
      <c r="I1603" s="1521">
        <v>1</v>
      </c>
      <c r="J1603" s="1538">
        <v>2</v>
      </c>
      <c r="K1603" s="1525"/>
      <c r="L1603" s="1519">
        <v>13135050606</v>
      </c>
      <c r="M1603" s="1520">
        <v>1</v>
      </c>
      <c r="N1603" s="1520">
        <v>1</v>
      </c>
      <c r="O1603" s="1521">
        <v>2</v>
      </c>
    </row>
    <row r="1604" spans="3:15" ht="13.5">
      <c r="C1604" s="1526" t="s">
        <v>5562</v>
      </c>
      <c r="D1604" s="1523">
        <v>1</v>
      </c>
      <c r="E1604" s="1523">
        <v>1</v>
      </c>
      <c r="F1604" s="1524">
        <v>2</v>
      </c>
      <c r="G1604" s="1537" t="s">
        <v>5562</v>
      </c>
      <c r="H1604" s="1521">
        <v>1</v>
      </c>
      <c r="I1604" s="1521">
        <v>1</v>
      </c>
      <c r="J1604" s="1538">
        <v>2</v>
      </c>
      <c r="K1604" s="1525"/>
      <c r="L1604" s="1519">
        <v>13135050607</v>
      </c>
      <c r="M1604" s="1520">
        <v>1</v>
      </c>
      <c r="N1604" s="1520">
        <v>1</v>
      </c>
      <c r="O1604" s="1521">
        <v>2</v>
      </c>
    </row>
    <row r="1605" spans="3:15" ht="13.5">
      <c r="C1605" s="1526" t="s">
        <v>5563</v>
      </c>
      <c r="D1605" s="1523">
        <v>1</v>
      </c>
      <c r="E1605" s="1523">
        <v>1</v>
      </c>
      <c r="F1605" s="1524">
        <v>2</v>
      </c>
      <c r="G1605" s="1537" t="s">
        <v>5563</v>
      </c>
      <c r="H1605" s="1521">
        <v>1</v>
      </c>
      <c r="I1605" s="1521">
        <v>1</v>
      </c>
      <c r="J1605" s="1538">
        <v>2</v>
      </c>
      <c r="K1605" s="1525"/>
      <c r="L1605" s="1519">
        <v>13135050608</v>
      </c>
      <c r="M1605" s="1520">
        <v>1</v>
      </c>
      <c r="N1605" s="1520">
        <v>1</v>
      </c>
      <c r="O1605" s="1521">
        <v>2</v>
      </c>
    </row>
    <row r="1606" spans="3:15" ht="13.5">
      <c r="C1606" s="1526" t="s">
        <v>5564</v>
      </c>
      <c r="D1606" s="1523">
        <v>1</v>
      </c>
      <c r="E1606" s="1523">
        <v>1</v>
      </c>
      <c r="F1606" s="1524">
        <v>2</v>
      </c>
      <c r="G1606" s="1537" t="s">
        <v>5564</v>
      </c>
      <c r="H1606" s="1521">
        <v>1</v>
      </c>
      <c r="I1606" s="1521">
        <v>1</v>
      </c>
      <c r="J1606" s="1538">
        <v>2</v>
      </c>
      <c r="K1606" s="1525"/>
      <c r="L1606" s="1519">
        <v>13135050609</v>
      </c>
      <c r="M1606" s="1520">
        <v>1</v>
      </c>
      <c r="N1606" s="1520">
        <v>1</v>
      </c>
      <c r="O1606" s="1521">
        <v>2</v>
      </c>
    </row>
    <row r="1607" spans="3:15" ht="13.5">
      <c r="C1607" s="1526" t="s">
        <v>5565</v>
      </c>
      <c r="D1607" s="1523">
        <v>1</v>
      </c>
      <c r="E1607" s="1523">
        <v>1</v>
      </c>
      <c r="F1607" s="1524">
        <v>2</v>
      </c>
      <c r="G1607" s="1537" t="s">
        <v>5565</v>
      </c>
      <c r="H1607" s="1521">
        <v>1</v>
      </c>
      <c r="I1607" s="1521">
        <v>1</v>
      </c>
      <c r="J1607" s="1538">
        <v>2</v>
      </c>
      <c r="K1607" s="1525"/>
      <c r="L1607" s="1519">
        <v>13135050610</v>
      </c>
      <c r="M1607" s="1520">
        <v>1</v>
      </c>
      <c r="N1607" s="1520">
        <v>1</v>
      </c>
      <c r="O1607" s="1521">
        <v>2</v>
      </c>
    </row>
    <row r="1608" spans="3:15" ht="13.5">
      <c r="C1608" s="1526" t="s">
        <v>5566</v>
      </c>
      <c r="D1608" s="1523">
        <v>0</v>
      </c>
      <c r="E1608" s="1523">
        <v>1</v>
      </c>
      <c r="F1608" s="1524">
        <v>1</v>
      </c>
      <c r="G1608" s="1537" t="s">
        <v>5566</v>
      </c>
      <c r="H1608" s="1521">
        <v>0</v>
      </c>
      <c r="I1608" s="1521">
        <v>1</v>
      </c>
      <c r="J1608" s="1538">
        <v>1</v>
      </c>
      <c r="K1608" s="1525"/>
      <c r="L1608" s="1519">
        <v>13135050709</v>
      </c>
      <c r="M1608" s="1520">
        <v>0</v>
      </c>
      <c r="N1608" s="1520">
        <v>1</v>
      </c>
      <c r="O1608" s="1521">
        <v>1</v>
      </c>
    </row>
    <row r="1609" spans="3:15" ht="13.5">
      <c r="C1609" s="1526" t="s">
        <v>5567</v>
      </c>
      <c r="D1609" s="1523">
        <v>1</v>
      </c>
      <c r="E1609" s="1523">
        <v>1</v>
      </c>
      <c r="F1609" s="1524">
        <v>2</v>
      </c>
      <c r="G1609" s="1537" t="s">
        <v>5567</v>
      </c>
      <c r="H1609" s="1521">
        <v>1</v>
      </c>
      <c r="I1609" s="1521">
        <v>1</v>
      </c>
      <c r="J1609" s="1538">
        <v>2</v>
      </c>
      <c r="K1609" s="1525"/>
      <c r="L1609" s="1519">
        <v>13135050712</v>
      </c>
      <c r="M1609" s="1520">
        <v>1</v>
      </c>
      <c r="N1609" s="1520">
        <v>1</v>
      </c>
      <c r="O1609" s="1521">
        <v>2</v>
      </c>
    </row>
    <row r="1610" spans="3:15" ht="13.5">
      <c r="C1610" s="1526" t="s">
        <v>5568</v>
      </c>
      <c r="D1610" s="1523">
        <v>1</v>
      </c>
      <c r="E1610" s="1523">
        <v>1</v>
      </c>
      <c r="F1610" s="1524">
        <v>2</v>
      </c>
      <c r="G1610" s="1537" t="s">
        <v>5568</v>
      </c>
      <c r="H1610" s="1521">
        <v>1</v>
      </c>
      <c r="I1610" s="1521">
        <v>1</v>
      </c>
      <c r="J1610" s="1538">
        <v>2</v>
      </c>
      <c r="K1610" s="1525"/>
      <c r="L1610" s="1519">
        <v>13135050713</v>
      </c>
      <c r="M1610" s="1520">
        <v>1</v>
      </c>
      <c r="N1610" s="1520">
        <v>1</v>
      </c>
      <c r="O1610" s="1521">
        <v>2</v>
      </c>
    </row>
    <row r="1611" spans="3:15" ht="13.5">
      <c r="C1611" s="1526" t="s">
        <v>5569</v>
      </c>
      <c r="D1611" s="1523">
        <v>1</v>
      </c>
      <c r="E1611" s="1523">
        <v>1</v>
      </c>
      <c r="F1611" s="1524">
        <v>2</v>
      </c>
      <c r="G1611" s="1537" t="s">
        <v>5569</v>
      </c>
      <c r="H1611" s="1521">
        <v>1</v>
      </c>
      <c r="I1611" s="1521">
        <v>1</v>
      </c>
      <c r="J1611" s="1538">
        <v>2</v>
      </c>
      <c r="K1611" s="1525"/>
      <c r="L1611" s="1519">
        <v>13135050714</v>
      </c>
      <c r="M1611" s="1520">
        <v>1</v>
      </c>
      <c r="N1611" s="1520">
        <v>1</v>
      </c>
      <c r="O1611" s="1521">
        <v>2</v>
      </c>
    </row>
    <row r="1612" spans="3:15" ht="13.5">
      <c r="C1612" s="1526" t="s">
        <v>5570</v>
      </c>
      <c r="D1612" s="1523">
        <v>1</v>
      </c>
      <c r="E1612" s="1523">
        <v>1</v>
      </c>
      <c r="F1612" s="1524">
        <v>2</v>
      </c>
      <c r="G1612" s="1537" t="s">
        <v>5570</v>
      </c>
      <c r="H1612" s="1521">
        <v>1</v>
      </c>
      <c r="I1612" s="1521">
        <v>1</v>
      </c>
      <c r="J1612" s="1538">
        <v>2</v>
      </c>
      <c r="K1612" s="1525"/>
      <c r="L1612" s="1519">
        <v>13135050715</v>
      </c>
      <c r="M1612" s="1520">
        <v>1</v>
      </c>
      <c r="N1612" s="1520">
        <v>1</v>
      </c>
      <c r="O1612" s="1521">
        <v>2</v>
      </c>
    </row>
    <row r="1613" spans="3:15" ht="13.5">
      <c r="C1613" s="1526" t="s">
        <v>5571</v>
      </c>
      <c r="D1613" s="1523">
        <v>1</v>
      </c>
      <c r="E1613" s="1523">
        <v>1</v>
      </c>
      <c r="F1613" s="1524">
        <v>2</v>
      </c>
      <c r="G1613" s="1537" t="s">
        <v>5571</v>
      </c>
      <c r="H1613" s="1521">
        <v>1</v>
      </c>
      <c r="I1613" s="1521" t="s">
        <v>4096</v>
      </c>
      <c r="J1613" s="1538">
        <v>1</v>
      </c>
      <c r="K1613" s="1525"/>
      <c r="L1613" s="1519">
        <v>13135050718</v>
      </c>
      <c r="M1613" s="1520">
        <v>1</v>
      </c>
      <c r="N1613" s="1520">
        <v>1</v>
      </c>
      <c r="O1613" s="1521">
        <v>2</v>
      </c>
    </row>
    <row r="1614" spans="3:15" ht="13.5">
      <c r="C1614" s="1526" t="s">
        <v>5572</v>
      </c>
      <c r="D1614" s="1523">
        <v>1</v>
      </c>
      <c r="E1614" s="1523">
        <v>1</v>
      </c>
      <c r="F1614" s="1524">
        <v>2</v>
      </c>
      <c r="G1614" s="1537" t="s">
        <v>5572</v>
      </c>
      <c r="H1614" s="1521">
        <v>1</v>
      </c>
      <c r="I1614" s="1521">
        <v>0</v>
      </c>
      <c r="J1614" s="1538">
        <v>1</v>
      </c>
      <c r="K1614" s="1525"/>
      <c r="L1614" s="1519">
        <v>13135050719</v>
      </c>
      <c r="M1614" s="1520">
        <v>1</v>
      </c>
      <c r="N1614" s="1520">
        <v>1</v>
      </c>
      <c r="O1614" s="1521">
        <v>2</v>
      </c>
    </row>
    <row r="1615" spans="3:15" ht="13.5">
      <c r="C1615" s="1526" t="s">
        <v>5573</v>
      </c>
      <c r="D1615" s="1523">
        <v>1</v>
      </c>
      <c r="E1615" s="1523">
        <v>1</v>
      </c>
      <c r="F1615" s="1524">
        <v>2</v>
      </c>
      <c r="G1615" s="1537" t="s">
        <v>5573</v>
      </c>
      <c r="H1615" s="1521">
        <v>1</v>
      </c>
      <c r="I1615" s="1521">
        <v>1</v>
      </c>
      <c r="J1615" s="1538">
        <v>2</v>
      </c>
      <c r="K1615" s="1525"/>
      <c r="L1615" s="1519">
        <v>13135050720</v>
      </c>
      <c r="M1615" s="1520">
        <v>1</v>
      </c>
      <c r="N1615" s="1520">
        <v>1</v>
      </c>
      <c r="O1615" s="1521">
        <v>2</v>
      </c>
    </row>
    <row r="1616" spans="3:15" ht="13.5">
      <c r="C1616" s="1526" t="s">
        <v>5574</v>
      </c>
      <c r="D1616" s="1523">
        <v>1</v>
      </c>
      <c r="E1616" s="1523">
        <v>0</v>
      </c>
      <c r="F1616" s="1524">
        <v>1</v>
      </c>
      <c r="G1616" s="1537" t="s">
        <v>5574</v>
      </c>
      <c r="H1616" s="1521">
        <v>1</v>
      </c>
      <c r="I1616" s="1521">
        <v>1</v>
      </c>
      <c r="J1616" s="1538">
        <v>2</v>
      </c>
      <c r="K1616" s="1525"/>
      <c r="L1616" s="1519">
        <v>13135050721</v>
      </c>
      <c r="M1616" s="1520">
        <v>1</v>
      </c>
      <c r="N1616" s="1520">
        <v>1</v>
      </c>
      <c r="O1616" s="1521">
        <v>2</v>
      </c>
    </row>
    <row r="1617" spans="3:15" ht="13.5">
      <c r="C1617" s="1526" t="s">
        <v>5575</v>
      </c>
      <c r="D1617" s="1523">
        <v>0</v>
      </c>
      <c r="E1617" s="1523">
        <v>0</v>
      </c>
      <c r="F1617" s="1524">
        <v>0</v>
      </c>
      <c r="G1617" s="1537" t="s">
        <v>5575</v>
      </c>
      <c r="H1617" s="1521">
        <v>0</v>
      </c>
      <c r="I1617" s="1521">
        <v>0</v>
      </c>
      <c r="J1617" s="1538">
        <v>0</v>
      </c>
      <c r="K1617" s="1525"/>
      <c r="L1617" s="1519">
        <v>13135050722</v>
      </c>
      <c r="M1617" s="1520">
        <v>0</v>
      </c>
      <c r="N1617" s="1520">
        <v>0</v>
      </c>
      <c r="O1617" s="1521">
        <v>0</v>
      </c>
    </row>
    <row r="1618" spans="3:15" ht="13.5">
      <c r="C1618" s="1526" t="s">
        <v>5576</v>
      </c>
      <c r="D1618" s="1523">
        <v>0</v>
      </c>
      <c r="E1618" s="1523">
        <v>1</v>
      </c>
      <c r="F1618" s="1524">
        <v>1</v>
      </c>
      <c r="G1618" s="1537" t="s">
        <v>5576</v>
      </c>
      <c r="H1618" s="1521">
        <v>1</v>
      </c>
      <c r="I1618" s="1521">
        <v>1</v>
      </c>
      <c r="J1618" s="1538">
        <v>2</v>
      </c>
      <c r="K1618" s="1525"/>
      <c r="L1618" s="1519">
        <v>13135050723</v>
      </c>
      <c r="M1618" s="1520">
        <v>1</v>
      </c>
      <c r="N1618" s="1520">
        <v>1</v>
      </c>
      <c r="O1618" s="1521">
        <v>2</v>
      </c>
    </row>
    <row r="1619" spans="3:15" ht="13.5">
      <c r="C1619" s="1526" t="s">
        <v>5577</v>
      </c>
      <c r="D1619" s="1523">
        <v>1</v>
      </c>
      <c r="E1619" s="1523">
        <v>1</v>
      </c>
      <c r="F1619" s="1524">
        <v>2</v>
      </c>
      <c r="G1619" s="1537" t="s">
        <v>5577</v>
      </c>
      <c r="H1619" s="1521">
        <v>1</v>
      </c>
      <c r="I1619" s="1521">
        <v>1</v>
      </c>
      <c r="J1619" s="1538">
        <v>2</v>
      </c>
      <c r="K1619" s="1525"/>
      <c r="L1619" s="1519">
        <v>13135050724</v>
      </c>
      <c r="M1619" s="1520">
        <v>1</v>
      </c>
      <c r="N1619" s="1520">
        <v>1</v>
      </c>
      <c r="O1619" s="1521">
        <v>2</v>
      </c>
    </row>
    <row r="1620" spans="3:15" ht="13.5">
      <c r="C1620" s="1526" t="s">
        <v>5578</v>
      </c>
      <c r="D1620" s="1523">
        <v>1</v>
      </c>
      <c r="E1620" s="1523">
        <v>1</v>
      </c>
      <c r="F1620" s="1524">
        <v>2</v>
      </c>
      <c r="G1620" s="1537" t="s">
        <v>5578</v>
      </c>
      <c r="H1620" s="1521">
        <v>1</v>
      </c>
      <c r="I1620" s="1521">
        <v>1</v>
      </c>
      <c r="J1620" s="1538">
        <v>2</v>
      </c>
      <c r="K1620" s="1525"/>
      <c r="L1620" s="1519">
        <v>13135050725</v>
      </c>
      <c r="M1620" s="1520">
        <v>1</v>
      </c>
      <c r="N1620" s="1520">
        <v>1</v>
      </c>
      <c r="O1620" s="1521">
        <v>2</v>
      </c>
    </row>
    <row r="1621" spans="3:15" ht="13.5">
      <c r="C1621" s="1526" t="s">
        <v>5579</v>
      </c>
      <c r="D1621" s="1523">
        <v>1</v>
      </c>
      <c r="E1621" s="1523">
        <v>1</v>
      </c>
      <c r="F1621" s="1524">
        <v>2</v>
      </c>
      <c r="G1621" s="1537" t="s">
        <v>5579</v>
      </c>
      <c r="H1621" s="1521">
        <v>1</v>
      </c>
      <c r="I1621" s="1521">
        <v>1</v>
      </c>
      <c r="J1621" s="1538">
        <v>2</v>
      </c>
      <c r="K1621" s="1525"/>
      <c r="L1621" s="1519">
        <v>13135050726</v>
      </c>
      <c r="M1621" s="1520">
        <v>1</v>
      </c>
      <c r="N1621" s="1520">
        <v>1</v>
      </c>
      <c r="O1621" s="1521">
        <v>2</v>
      </c>
    </row>
    <row r="1622" spans="3:15" ht="13.5">
      <c r="C1622" s="1526" t="s">
        <v>5580</v>
      </c>
      <c r="D1622" s="1523">
        <v>1</v>
      </c>
      <c r="E1622" s="1523">
        <v>1</v>
      </c>
      <c r="F1622" s="1524">
        <v>2</v>
      </c>
      <c r="G1622" s="1537" t="s">
        <v>5580</v>
      </c>
      <c r="H1622" s="1521">
        <v>1</v>
      </c>
      <c r="I1622" s="1521">
        <v>1</v>
      </c>
      <c r="J1622" s="1538">
        <v>2</v>
      </c>
      <c r="K1622" s="1525"/>
      <c r="L1622" s="1519">
        <v>13135050727</v>
      </c>
      <c r="M1622" s="1520">
        <v>1</v>
      </c>
      <c r="N1622" s="1520">
        <v>1</v>
      </c>
      <c r="O1622" s="1521">
        <v>2</v>
      </c>
    </row>
    <row r="1623" spans="3:15" ht="13.5">
      <c r="C1623" s="1526" t="s">
        <v>5581</v>
      </c>
      <c r="D1623" s="1523">
        <v>1</v>
      </c>
      <c r="E1623" s="1523">
        <v>1</v>
      </c>
      <c r="F1623" s="1524">
        <v>2</v>
      </c>
      <c r="G1623" s="1537" t="s">
        <v>5581</v>
      </c>
      <c r="H1623" s="1521">
        <v>1</v>
      </c>
      <c r="I1623" s="1521">
        <v>1</v>
      </c>
      <c r="J1623" s="1538">
        <v>2</v>
      </c>
      <c r="K1623" s="1525"/>
      <c r="L1623" s="1519">
        <v>13135050728</v>
      </c>
      <c r="M1623" s="1520">
        <v>1</v>
      </c>
      <c r="N1623" s="1520">
        <v>1</v>
      </c>
      <c r="O1623" s="1521">
        <v>2</v>
      </c>
    </row>
    <row r="1624" spans="3:15" ht="13.5">
      <c r="C1624" s="1526" t="s">
        <v>5582</v>
      </c>
      <c r="D1624" s="1523">
        <v>0</v>
      </c>
      <c r="E1624" s="1523">
        <v>0</v>
      </c>
      <c r="F1624" s="1524">
        <v>0</v>
      </c>
      <c r="G1624" s="1537" t="s">
        <v>5582</v>
      </c>
      <c r="H1624" s="1521">
        <v>1</v>
      </c>
      <c r="I1624" s="1521">
        <v>0</v>
      </c>
      <c r="J1624" s="1538">
        <v>1</v>
      </c>
      <c r="K1624" s="1525"/>
      <c r="L1624" s="1519">
        <v>13135050729</v>
      </c>
      <c r="M1624" s="1520">
        <v>1</v>
      </c>
      <c r="N1624" s="1520">
        <v>0</v>
      </c>
      <c r="O1624" s="1521">
        <v>1</v>
      </c>
    </row>
    <row r="1625" spans="3:15" ht="13.5">
      <c r="C1625" s="1526" t="s">
        <v>5583</v>
      </c>
      <c r="D1625" s="1523">
        <v>1</v>
      </c>
      <c r="E1625" s="1523">
        <v>1</v>
      </c>
      <c r="F1625" s="1524">
        <v>2</v>
      </c>
      <c r="G1625" s="1537" t="s">
        <v>5583</v>
      </c>
      <c r="H1625" s="1521">
        <v>1</v>
      </c>
      <c r="I1625" s="1521">
        <v>0</v>
      </c>
      <c r="J1625" s="1538">
        <v>1</v>
      </c>
      <c r="K1625" s="1525"/>
      <c r="L1625" s="1519">
        <v>13135050730</v>
      </c>
      <c r="M1625" s="1520">
        <v>1</v>
      </c>
      <c r="N1625" s="1520">
        <v>1</v>
      </c>
      <c r="O1625" s="1521">
        <v>2</v>
      </c>
    </row>
    <row r="1626" spans="3:15" ht="13.5">
      <c r="C1626" s="1526" t="s">
        <v>5584</v>
      </c>
      <c r="D1626" s="1523">
        <v>1</v>
      </c>
      <c r="E1626" s="1523">
        <v>1</v>
      </c>
      <c r="F1626" s="1524">
        <v>2</v>
      </c>
      <c r="G1626" s="1537" t="s">
        <v>5584</v>
      </c>
      <c r="H1626" s="1521">
        <v>0</v>
      </c>
      <c r="I1626" s="1521">
        <v>1</v>
      </c>
      <c r="J1626" s="1538">
        <v>1</v>
      </c>
      <c r="K1626" s="1525"/>
      <c r="L1626" s="1519">
        <v>13135050731</v>
      </c>
      <c r="M1626" s="1520">
        <v>1</v>
      </c>
      <c r="N1626" s="1520">
        <v>1</v>
      </c>
      <c r="O1626" s="1521">
        <v>2</v>
      </c>
    </row>
    <row r="1627" spans="3:15" ht="13.5">
      <c r="C1627" s="1526" t="s">
        <v>5585</v>
      </c>
      <c r="D1627" s="1523">
        <v>1</v>
      </c>
      <c r="E1627" s="1523">
        <v>1</v>
      </c>
      <c r="F1627" s="1524">
        <v>2</v>
      </c>
      <c r="G1627" s="1537" t="s">
        <v>5585</v>
      </c>
      <c r="H1627" s="1521">
        <v>0</v>
      </c>
      <c r="I1627" s="1521">
        <v>1</v>
      </c>
      <c r="J1627" s="1538">
        <v>1</v>
      </c>
      <c r="K1627" s="1525"/>
      <c r="L1627" s="1519">
        <v>13137000100</v>
      </c>
      <c r="M1627" s="1520">
        <v>1</v>
      </c>
      <c r="N1627" s="1520">
        <v>1</v>
      </c>
      <c r="O1627" s="1521">
        <v>2</v>
      </c>
    </row>
    <row r="1628" spans="3:15" ht="13.5">
      <c r="C1628" s="1526" t="s">
        <v>5586</v>
      </c>
      <c r="D1628" s="1523">
        <v>1</v>
      </c>
      <c r="E1628" s="1523">
        <v>0</v>
      </c>
      <c r="F1628" s="1524">
        <v>1</v>
      </c>
      <c r="G1628" s="1537" t="s">
        <v>5586</v>
      </c>
      <c r="H1628" s="1521">
        <v>0</v>
      </c>
      <c r="I1628" s="1521">
        <v>0</v>
      </c>
      <c r="J1628" s="1538">
        <v>0</v>
      </c>
      <c r="K1628" s="1525"/>
      <c r="L1628" s="1519">
        <v>13137000201</v>
      </c>
      <c r="M1628" s="1520">
        <v>1</v>
      </c>
      <c r="N1628" s="1520">
        <v>0</v>
      </c>
      <c r="O1628" s="1521">
        <v>1</v>
      </c>
    </row>
    <row r="1629" spans="3:15" ht="13.5">
      <c r="C1629" s="1526" t="s">
        <v>5587</v>
      </c>
      <c r="D1629" s="1523">
        <v>1</v>
      </c>
      <c r="E1629" s="1523">
        <v>1</v>
      </c>
      <c r="F1629" s="1524">
        <v>2</v>
      </c>
      <c r="G1629" s="1537" t="s">
        <v>5587</v>
      </c>
      <c r="H1629" s="1521">
        <v>1</v>
      </c>
      <c r="I1629" s="1521">
        <v>0</v>
      </c>
      <c r="J1629" s="1538">
        <v>1</v>
      </c>
      <c r="K1629" s="1525"/>
      <c r="L1629" s="1519">
        <v>13137000202</v>
      </c>
      <c r="M1629" s="1520">
        <v>1</v>
      </c>
      <c r="N1629" s="1520">
        <v>1</v>
      </c>
      <c r="O1629" s="1521">
        <v>2</v>
      </c>
    </row>
    <row r="1630" spans="3:15" ht="13.5">
      <c r="C1630" s="1526" t="s">
        <v>5588</v>
      </c>
      <c r="D1630" s="1523">
        <v>0</v>
      </c>
      <c r="E1630" s="1523">
        <v>0</v>
      </c>
      <c r="F1630" s="1524">
        <v>0</v>
      </c>
      <c r="G1630" s="1537" t="s">
        <v>5588</v>
      </c>
      <c r="H1630" s="1521">
        <v>0</v>
      </c>
      <c r="I1630" s="1521">
        <v>0</v>
      </c>
      <c r="J1630" s="1538">
        <v>0</v>
      </c>
      <c r="K1630" s="1525"/>
      <c r="L1630" s="1519">
        <v>13137000300</v>
      </c>
      <c r="M1630" s="1520">
        <v>0</v>
      </c>
      <c r="N1630" s="1520">
        <v>0</v>
      </c>
      <c r="O1630" s="1521">
        <v>0</v>
      </c>
    </row>
    <row r="1631" spans="3:15" ht="13.5">
      <c r="C1631" s="1526" t="s">
        <v>5589</v>
      </c>
      <c r="D1631" s="1523">
        <v>1</v>
      </c>
      <c r="E1631" s="1523">
        <v>0</v>
      </c>
      <c r="F1631" s="1524">
        <v>1</v>
      </c>
      <c r="G1631" s="1537" t="s">
        <v>5589</v>
      </c>
      <c r="H1631" s="1521">
        <v>0</v>
      </c>
      <c r="I1631" s="1521">
        <v>1</v>
      </c>
      <c r="J1631" s="1538">
        <v>1</v>
      </c>
      <c r="K1631" s="1525"/>
      <c r="L1631" s="1519">
        <v>13137000400</v>
      </c>
      <c r="M1631" s="1520">
        <v>1</v>
      </c>
      <c r="N1631" s="1520">
        <v>1</v>
      </c>
      <c r="O1631" s="1521">
        <v>1</v>
      </c>
    </row>
    <row r="1632" spans="3:15" ht="13.5">
      <c r="C1632" s="1526" t="s">
        <v>5590</v>
      </c>
      <c r="D1632" s="1523">
        <v>0</v>
      </c>
      <c r="E1632" s="1523">
        <v>0</v>
      </c>
      <c r="F1632" s="1524">
        <v>0</v>
      </c>
      <c r="G1632" s="1537" t="s">
        <v>5590</v>
      </c>
      <c r="H1632" s="1521">
        <v>0</v>
      </c>
      <c r="I1632" s="1521">
        <v>1</v>
      </c>
      <c r="J1632" s="1538">
        <v>1</v>
      </c>
      <c r="K1632" s="1525"/>
      <c r="L1632" s="1519">
        <v>13137000500</v>
      </c>
      <c r="M1632" s="1520">
        <v>0</v>
      </c>
      <c r="N1632" s="1520">
        <v>1</v>
      </c>
      <c r="O1632" s="1521">
        <v>1</v>
      </c>
    </row>
    <row r="1633" spans="3:15" ht="13.5">
      <c r="C1633" s="1526" t="s">
        <v>5591</v>
      </c>
      <c r="D1633" s="1523">
        <v>0</v>
      </c>
      <c r="E1633" s="1523">
        <v>0</v>
      </c>
      <c r="F1633" s="1524">
        <v>0</v>
      </c>
      <c r="G1633" s="1537" t="s">
        <v>5591</v>
      </c>
      <c r="H1633" s="1521">
        <v>0</v>
      </c>
      <c r="I1633" s="1521">
        <v>0</v>
      </c>
      <c r="J1633" s="1538">
        <v>0</v>
      </c>
      <c r="K1633" s="1525"/>
      <c r="L1633" s="1519">
        <v>13137000601</v>
      </c>
      <c r="M1633" s="1520">
        <v>0</v>
      </c>
      <c r="N1633" s="1520">
        <v>0</v>
      </c>
      <c r="O1633" s="1521">
        <v>0</v>
      </c>
    </row>
    <row r="1634" spans="3:15" ht="13.5">
      <c r="C1634" s="1526" t="s">
        <v>5592</v>
      </c>
      <c r="D1634" s="1523">
        <v>0</v>
      </c>
      <c r="E1634" s="1523">
        <v>0</v>
      </c>
      <c r="F1634" s="1524">
        <v>0</v>
      </c>
      <c r="G1634" s="1537" t="s">
        <v>5592</v>
      </c>
      <c r="H1634" s="1521">
        <v>0</v>
      </c>
      <c r="I1634" s="1521">
        <v>0</v>
      </c>
      <c r="J1634" s="1538">
        <v>0</v>
      </c>
      <c r="K1634" s="1525"/>
      <c r="L1634" s="1519">
        <v>13137000602</v>
      </c>
      <c r="M1634" s="1520">
        <v>0</v>
      </c>
      <c r="N1634" s="1520">
        <v>0</v>
      </c>
      <c r="O1634" s="1521">
        <v>0</v>
      </c>
    </row>
    <row r="1635" spans="3:15" ht="13.5">
      <c r="C1635" s="1526" t="s">
        <v>5593</v>
      </c>
      <c r="D1635" s="1523">
        <v>1</v>
      </c>
      <c r="E1635" s="1523">
        <v>0</v>
      </c>
      <c r="F1635" s="1524">
        <v>1</v>
      </c>
      <c r="G1635" s="1537" t="s">
        <v>5593</v>
      </c>
      <c r="H1635" s="1521">
        <v>0</v>
      </c>
      <c r="I1635" s="1521">
        <v>0</v>
      </c>
      <c r="J1635" s="1538">
        <v>0</v>
      </c>
      <c r="K1635" s="1525"/>
      <c r="L1635" s="1519">
        <v>13139000101</v>
      </c>
      <c r="M1635" s="1520">
        <v>1</v>
      </c>
      <c r="N1635" s="1520">
        <v>0</v>
      </c>
      <c r="O1635" s="1521">
        <v>1</v>
      </c>
    </row>
    <row r="1636" spans="3:15" ht="13.5">
      <c r="C1636" s="1526" t="s">
        <v>5594</v>
      </c>
      <c r="D1636" s="1523">
        <v>1</v>
      </c>
      <c r="E1636" s="1523">
        <v>0</v>
      </c>
      <c r="F1636" s="1524">
        <v>1</v>
      </c>
      <c r="G1636" s="1537" t="s">
        <v>5594</v>
      </c>
      <c r="H1636" s="1521">
        <v>1</v>
      </c>
      <c r="I1636" s="1521">
        <v>0</v>
      </c>
      <c r="J1636" s="1538">
        <v>1</v>
      </c>
      <c r="K1636" s="1525"/>
      <c r="L1636" s="1519">
        <v>13139000102</v>
      </c>
      <c r="M1636" s="1520">
        <v>1</v>
      </c>
      <c r="N1636" s="1520">
        <v>0</v>
      </c>
      <c r="O1636" s="1521">
        <v>1</v>
      </c>
    </row>
    <row r="1637" spans="3:15" ht="13.5">
      <c r="C1637" s="1526" t="s">
        <v>5595</v>
      </c>
      <c r="D1637" s="1523">
        <v>0</v>
      </c>
      <c r="E1637" s="1523">
        <v>0</v>
      </c>
      <c r="F1637" s="1524">
        <v>0</v>
      </c>
      <c r="G1637" s="1537" t="s">
        <v>5595</v>
      </c>
      <c r="H1637" s="1521">
        <v>1</v>
      </c>
      <c r="I1637" s="1521">
        <v>0</v>
      </c>
      <c r="J1637" s="1538">
        <v>1</v>
      </c>
      <c r="K1637" s="1525"/>
      <c r="L1637" s="1519">
        <v>13139000201</v>
      </c>
      <c r="M1637" s="1520">
        <v>1</v>
      </c>
      <c r="N1637" s="1520">
        <v>0</v>
      </c>
      <c r="O1637" s="1521">
        <v>1</v>
      </c>
    </row>
    <row r="1638" spans="3:15" ht="13.5">
      <c r="C1638" s="1526" t="s">
        <v>5596</v>
      </c>
      <c r="D1638" s="1523">
        <v>1</v>
      </c>
      <c r="E1638" s="1523">
        <v>1</v>
      </c>
      <c r="F1638" s="1524">
        <v>2</v>
      </c>
      <c r="G1638" s="1537" t="s">
        <v>5596</v>
      </c>
      <c r="H1638" s="1521">
        <v>1</v>
      </c>
      <c r="I1638" s="1521">
        <v>1</v>
      </c>
      <c r="J1638" s="1538">
        <v>2</v>
      </c>
      <c r="K1638" s="1525"/>
      <c r="L1638" s="1519">
        <v>13139000203</v>
      </c>
      <c r="M1638" s="1520">
        <v>1</v>
      </c>
      <c r="N1638" s="1520">
        <v>1</v>
      </c>
      <c r="O1638" s="1521">
        <v>2</v>
      </c>
    </row>
    <row r="1639" spans="3:15" ht="13.5">
      <c r="C1639" s="1526" t="s">
        <v>5597</v>
      </c>
      <c r="D1639" s="1523">
        <v>1</v>
      </c>
      <c r="E1639" s="1523">
        <v>1</v>
      </c>
      <c r="F1639" s="1524">
        <v>2</v>
      </c>
      <c r="G1639" s="1537" t="s">
        <v>5597</v>
      </c>
      <c r="H1639" s="1521">
        <v>1</v>
      </c>
      <c r="I1639" s="1521">
        <v>1</v>
      </c>
      <c r="J1639" s="1538">
        <v>2</v>
      </c>
      <c r="K1639" s="1525"/>
      <c r="L1639" s="1519">
        <v>13139000204</v>
      </c>
      <c r="M1639" s="1520">
        <v>1</v>
      </c>
      <c r="N1639" s="1520">
        <v>1</v>
      </c>
      <c r="O1639" s="1521">
        <v>2</v>
      </c>
    </row>
    <row r="1640" spans="3:15" ht="13.5">
      <c r="C1640" s="1526" t="s">
        <v>5598</v>
      </c>
      <c r="D1640" s="1523">
        <v>1</v>
      </c>
      <c r="E1640" s="1523">
        <v>1</v>
      </c>
      <c r="F1640" s="1524">
        <v>2</v>
      </c>
      <c r="G1640" s="1537" t="s">
        <v>5598</v>
      </c>
      <c r="H1640" s="1521">
        <v>1</v>
      </c>
      <c r="I1640" s="1521">
        <v>0</v>
      </c>
      <c r="J1640" s="1538">
        <v>1</v>
      </c>
      <c r="K1640" s="1525"/>
      <c r="L1640" s="1519">
        <v>13139000302</v>
      </c>
      <c r="M1640" s="1520">
        <v>1</v>
      </c>
      <c r="N1640" s="1520">
        <v>1</v>
      </c>
      <c r="O1640" s="1521">
        <v>2</v>
      </c>
    </row>
    <row r="1641" spans="3:15" ht="13.5">
      <c r="C1641" s="1526" t="s">
        <v>5599</v>
      </c>
      <c r="D1641" s="1523">
        <v>1</v>
      </c>
      <c r="E1641" s="1523">
        <v>1</v>
      </c>
      <c r="F1641" s="1524">
        <v>2</v>
      </c>
      <c r="G1641" s="1537" t="s">
        <v>5599</v>
      </c>
      <c r="H1641" s="1521">
        <v>1</v>
      </c>
      <c r="I1641" s="1521">
        <v>1</v>
      </c>
      <c r="J1641" s="1538">
        <v>2</v>
      </c>
      <c r="K1641" s="1525"/>
      <c r="L1641" s="1519">
        <v>13139000303</v>
      </c>
      <c r="M1641" s="1520">
        <v>1</v>
      </c>
      <c r="N1641" s="1520">
        <v>1</v>
      </c>
      <c r="O1641" s="1521">
        <v>2</v>
      </c>
    </row>
    <row r="1642" spans="3:15" ht="13.5">
      <c r="C1642" s="1526" t="s">
        <v>5600</v>
      </c>
      <c r="D1642" s="1523">
        <v>1</v>
      </c>
      <c r="E1642" s="1523">
        <v>1</v>
      </c>
      <c r="F1642" s="1524">
        <v>2</v>
      </c>
      <c r="G1642" s="1537" t="s">
        <v>5600</v>
      </c>
      <c r="H1642" s="1521">
        <v>1</v>
      </c>
      <c r="I1642" s="1521">
        <v>1</v>
      </c>
      <c r="J1642" s="1538">
        <v>2</v>
      </c>
      <c r="K1642" s="1525"/>
      <c r="L1642" s="1519">
        <v>13139000304</v>
      </c>
      <c r="M1642" s="1520">
        <v>1</v>
      </c>
      <c r="N1642" s="1520">
        <v>1</v>
      </c>
      <c r="O1642" s="1521">
        <v>2</v>
      </c>
    </row>
    <row r="1643" spans="3:15" ht="13.5">
      <c r="C1643" s="1526" t="s">
        <v>5601</v>
      </c>
      <c r="D1643" s="1523">
        <v>1</v>
      </c>
      <c r="E1643" s="1523">
        <v>1</v>
      </c>
      <c r="F1643" s="1524">
        <v>2</v>
      </c>
      <c r="G1643" s="1537" t="s">
        <v>5601</v>
      </c>
      <c r="H1643" s="1521">
        <v>1</v>
      </c>
      <c r="I1643" s="1521">
        <v>1</v>
      </c>
      <c r="J1643" s="1538">
        <v>2</v>
      </c>
      <c r="K1643" s="1525"/>
      <c r="L1643" s="1519">
        <v>13139000305</v>
      </c>
      <c r="M1643" s="1520">
        <v>1</v>
      </c>
      <c r="N1643" s="1520">
        <v>1</v>
      </c>
      <c r="O1643" s="1521">
        <v>2</v>
      </c>
    </row>
    <row r="1644" spans="3:15" ht="13.5">
      <c r="C1644" s="1526" t="s">
        <v>5602</v>
      </c>
      <c r="D1644" s="1523">
        <v>1</v>
      </c>
      <c r="E1644" s="1523">
        <v>0</v>
      </c>
      <c r="F1644" s="1524">
        <v>1</v>
      </c>
      <c r="G1644" s="1537" t="s">
        <v>5602</v>
      </c>
      <c r="H1644" s="1521">
        <v>1</v>
      </c>
      <c r="I1644" s="1521">
        <v>1</v>
      </c>
      <c r="J1644" s="1538">
        <v>2</v>
      </c>
      <c r="K1644" s="1525"/>
      <c r="L1644" s="1519">
        <v>13139000400</v>
      </c>
      <c r="M1644" s="1520">
        <v>1</v>
      </c>
      <c r="N1644" s="1520">
        <v>1</v>
      </c>
      <c r="O1644" s="1521">
        <v>2</v>
      </c>
    </row>
    <row r="1645" spans="3:15" ht="13.5">
      <c r="C1645" s="1526" t="s">
        <v>5603</v>
      </c>
      <c r="D1645" s="1523">
        <v>1</v>
      </c>
      <c r="E1645" s="1523">
        <v>1</v>
      </c>
      <c r="F1645" s="1524">
        <v>2</v>
      </c>
      <c r="G1645" s="1537" t="s">
        <v>5603</v>
      </c>
      <c r="H1645" s="1521">
        <v>1</v>
      </c>
      <c r="I1645" s="1521">
        <v>1</v>
      </c>
      <c r="J1645" s="1538">
        <v>2</v>
      </c>
      <c r="K1645" s="1525"/>
      <c r="L1645" s="1519">
        <v>13139000500</v>
      </c>
      <c r="M1645" s="1520">
        <v>1</v>
      </c>
      <c r="N1645" s="1520">
        <v>1</v>
      </c>
      <c r="O1645" s="1521">
        <v>2</v>
      </c>
    </row>
    <row r="1646" spans="3:15" ht="13.5">
      <c r="C1646" s="1526" t="s">
        <v>5604</v>
      </c>
      <c r="D1646" s="1523">
        <v>0</v>
      </c>
      <c r="E1646" s="1523">
        <v>0</v>
      </c>
      <c r="F1646" s="1524">
        <v>0</v>
      </c>
      <c r="G1646" s="1537" t="s">
        <v>5604</v>
      </c>
      <c r="H1646" s="1521">
        <v>0</v>
      </c>
      <c r="I1646" s="1521">
        <v>0</v>
      </c>
      <c r="J1646" s="1538">
        <v>0</v>
      </c>
      <c r="K1646" s="1525"/>
      <c r="L1646" s="1519">
        <v>13139000600</v>
      </c>
      <c r="M1646" s="1520">
        <v>0</v>
      </c>
      <c r="N1646" s="1520">
        <v>0</v>
      </c>
      <c r="O1646" s="1521">
        <v>0</v>
      </c>
    </row>
    <row r="1647" spans="3:15" ht="13.5">
      <c r="C1647" s="1526" t="s">
        <v>5605</v>
      </c>
      <c r="D1647" s="1523">
        <v>0</v>
      </c>
      <c r="E1647" s="1523">
        <v>0</v>
      </c>
      <c r="F1647" s="1524">
        <v>0</v>
      </c>
      <c r="G1647" s="1537" t="s">
        <v>5605</v>
      </c>
      <c r="H1647" s="1521">
        <v>0</v>
      </c>
      <c r="I1647" s="1521">
        <v>0</v>
      </c>
      <c r="J1647" s="1538">
        <v>0</v>
      </c>
      <c r="K1647" s="1525"/>
      <c r="L1647" s="1519">
        <v>13139000701</v>
      </c>
      <c r="M1647" s="1520">
        <v>0</v>
      </c>
      <c r="N1647" s="1520">
        <v>0</v>
      </c>
      <c r="O1647" s="1521">
        <v>0</v>
      </c>
    </row>
    <row r="1648" spans="3:15" ht="13.5">
      <c r="C1648" s="1526" t="s">
        <v>5606</v>
      </c>
      <c r="D1648" s="1523">
        <v>0</v>
      </c>
      <c r="E1648" s="1523">
        <v>0</v>
      </c>
      <c r="F1648" s="1524">
        <v>0</v>
      </c>
      <c r="G1648" s="1537" t="s">
        <v>5606</v>
      </c>
      <c r="H1648" s="1521">
        <v>0</v>
      </c>
      <c r="I1648" s="1521">
        <v>0</v>
      </c>
      <c r="J1648" s="1538">
        <v>0</v>
      </c>
      <c r="K1648" s="1525"/>
      <c r="L1648" s="1519">
        <v>13139000702</v>
      </c>
      <c r="M1648" s="1520">
        <v>0</v>
      </c>
      <c r="N1648" s="1520">
        <v>0</v>
      </c>
      <c r="O1648" s="1521">
        <v>0</v>
      </c>
    </row>
    <row r="1649" spans="3:15" ht="13.5">
      <c r="C1649" s="1526" t="s">
        <v>5607</v>
      </c>
      <c r="D1649" s="1523">
        <v>0</v>
      </c>
      <c r="E1649" s="1523">
        <v>0</v>
      </c>
      <c r="F1649" s="1524">
        <v>0</v>
      </c>
      <c r="G1649" s="1537" t="s">
        <v>5607</v>
      </c>
      <c r="H1649" s="1521">
        <v>0</v>
      </c>
      <c r="I1649" s="1521">
        <v>0</v>
      </c>
      <c r="J1649" s="1538">
        <v>0</v>
      </c>
      <c r="K1649" s="1525"/>
      <c r="L1649" s="1519">
        <v>13139000800</v>
      </c>
      <c r="M1649" s="1520">
        <v>0</v>
      </c>
      <c r="N1649" s="1520">
        <v>0</v>
      </c>
      <c r="O1649" s="1521">
        <v>0</v>
      </c>
    </row>
    <row r="1650" spans="3:15" ht="13.5">
      <c r="C1650" s="1526" t="s">
        <v>5608</v>
      </c>
      <c r="D1650" s="1523">
        <v>1</v>
      </c>
      <c r="E1650" s="1523">
        <v>1</v>
      </c>
      <c r="F1650" s="1524">
        <v>2</v>
      </c>
      <c r="G1650" s="1537" t="s">
        <v>5608</v>
      </c>
      <c r="H1650" s="1521">
        <v>1</v>
      </c>
      <c r="I1650" s="1521">
        <v>1</v>
      </c>
      <c r="J1650" s="1538">
        <v>2</v>
      </c>
      <c r="K1650" s="1525"/>
      <c r="L1650" s="1519">
        <v>13139000900</v>
      </c>
      <c r="M1650" s="1520">
        <v>1</v>
      </c>
      <c r="N1650" s="1520">
        <v>1</v>
      </c>
      <c r="O1650" s="1521">
        <v>2</v>
      </c>
    </row>
    <row r="1651" spans="3:15" ht="13.5">
      <c r="C1651" s="1526" t="s">
        <v>5609</v>
      </c>
      <c r="D1651" s="1523">
        <v>1</v>
      </c>
      <c r="E1651" s="1523">
        <v>0</v>
      </c>
      <c r="F1651" s="1524">
        <v>1</v>
      </c>
      <c r="G1651" s="1537" t="s">
        <v>5609</v>
      </c>
      <c r="H1651" s="1521">
        <v>0</v>
      </c>
      <c r="I1651" s="1521">
        <v>1</v>
      </c>
      <c r="J1651" s="1538">
        <v>1</v>
      </c>
      <c r="K1651" s="1525"/>
      <c r="L1651" s="1519">
        <v>13139001002</v>
      </c>
      <c r="M1651" s="1520">
        <v>1</v>
      </c>
      <c r="N1651" s="1520">
        <v>1</v>
      </c>
      <c r="O1651" s="1521">
        <v>1</v>
      </c>
    </row>
    <row r="1652" spans="3:15" ht="13.5">
      <c r="C1652" s="1526" t="s">
        <v>5610</v>
      </c>
      <c r="D1652" s="1523">
        <v>0</v>
      </c>
      <c r="E1652" s="1523">
        <v>0</v>
      </c>
      <c r="F1652" s="1524">
        <v>0</v>
      </c>
      <c r="G1652" s="1537" t="s">
        <v>5610</v>
      </c>
      <c r="H1652" s="1521">
        <v>0</v>
      </c>
      <c r="I1652" s="1521">
        <v>0</v>
      </c>
      <c r="J1652" s="1538">
        <v>0</v>
      </c>
      <c r="K1652" s="1525"/>
      <c r="L1652" s="1519">
        <v>13139001003</v>
      </c>
      <c r="M1652" s="1520">
        <v>0</v>
      </c>
      <c r="N1652" s="1520">
        <v>0</v>
      </c>
      <c r="O1652" s="1521">
        <v>0</v>
      </c>
    </row>
    <row r="1653" spans="3:15" ht="13.5">
      <c r="C1653" s="1526" t="s">
        <v>5611</v>
      </c>
      <c r="D1653" s="1523">
        <v>1</v>
      </c>
      <c r="E1653" s="1523">
        <v>1</v>
      </c>
      <c r="F1653" s="1524">
        <v>2</v>
      </c>
      <c r="G1653" s="1537" t="s">
        <v>5611</v>
      </c>
      <c r="H1653" s="1521">
        <v>0</v>
      </c>
      <c r="I1653" s="1521">
        <v>0</v>
      </c>
      <c r="J1653" s="1538">
        <v>0</v>
      </c>
      <c r="K1653" s="1525"/>
      <c r="L1653" s="1519">
        <v>13139001004</v>
      </c>
      <c r="M1653" s="1520">
        <v>1</v>
      </c>
      <c r="N1653" s="1520">
        <v>1</v>
      </c>
      <c r="O1653" s="1521">
        <v>2</v>
      </c>
    </row>
    <row r="1654" spans="3:15" ht="13.5">
      <c r="C1654" s="1526" t="s">
        <v>5612</v>
      </c>
      <c r="D1654" s="1523">
        <v>0</v>
      </c>
      <c r="E1654" s="1523">
        <v>0</v>
      </c>
      <c r="F1654" s="1524">
        <v>0</v>
      </c>
      <c r="G1654" s="1537" t="s">
        <v>5612</v>
      </c>
      <c r="H1654" s="1521">
        <v>0</v>
      </c>
      <c r="I1654" s="1521" t="s">
        <v>4096</v>
      </c>
      <c r="J1654" s="1538">
        <v>0</v>
      </c>
      <c r="K1654" s="1525"/>
      <c r="L1654" s="1519">
        <v>13139001101</v>
      </c>
      <c r="M1654" s="1520">
        <v>0</v>
      </c>
      <c r="N1654" s="1520">
        <v>0</v>
      </c>
      <c r="O1654" s="1521">
        <v>0</v>
      </c>
    </row>
    <row r="1655" spans="3:15" ht="13.5">
      <c r="C1655" s="1526" t="s">
        <v>5613</v>
      </c>
      <c r="D1655" s="1523">
        <v>0</v>
      </c>
      <c r="E1655" s="1523">
        <v>0</v>
      </c>
      <c r="F1655" s="1524">
        <v>0</v>
      </c>
      <c r="G1655" s="1537" t="s">
        <v>5613</v>
      </c>
      <c r="H1655" s="1521">
        <v>1</v>
      </c>
      <c r="I1655" s="1521">
        <v>0</v>
      </c>
      <c r="J1655" s="1538">
        <v>1</v>
      </c>
      <c r="K1655" s="1525"/>
      <c r="L1655" s="1519">
        <v>13139001102</v>
      </c>
      <c r="M1655" s="1520">
        <v>1</v>
      </c>
      <c r="N1655" s="1520">
        <v>0</v>
      </c>
      <c r="O1655" s="1521">
        <v>1</v>
      </c>
    </row>
    <row r="1656" spans="3:15" ht="13.5">
      <c r="C1656" s="1526" t="s">
        <v>5614</v>
      </c>
      <c r="D1656" s="1523">
        <v>0</v>
      </c>
      <c r="E1656" s="1523">
        <v>0</v>
      </c>
      <c r="F1656" s="1524">
        <v>0</v>
      </c>
      <c r="G1656" s="1537" t="s">
        <v>5614</v>
      </c>
      <c r="H1656" s="1521">
        <v>0</v>
      </c>
      <c r="I1656" s="1521">
        <v>0</v>
      </c>
      <c r="J1656" s="1538">
        <v>0</v>
      </c>
      <c r="K1656" s="1525"/>
      <c r="L1656" s="1519">
        <v>13139001201</v>
      </c>
      <c r="M1656" s="1520">
        <v>0</v>
      </c>
      <c r="N1656" s="1520">
        <v>0</v>
      </c>
      <c r="O1656" s="1521">
        <v>0</v>
      </c>
    </row>
    <row r="1657" spans="3:15" ht="13.5">
      <c r="C1657" s="1526" t="s">
        <v>5615</v>
      </c>
      <c r="D1657" s="1523">
        <v>1</v>
      </c>
      <c r="E1657" s="1523">
        <v>0</v>
      </c>
      <c r="F1657" s="1524">
        <v>1</v>
      </c>
      <c r="G1657" s="1537" t="s">
        <v>5615</v>
      </c>
      <c r="H1657" s="1521">
        <v>0</v>
      </c>
      <c r="I1657" s="1521">
        <v>0</v>
      </c>
      <c r="J1657" s="1538">
        <v>0</v>
      </c>
      <c r="K1657" s="1525"/>
      <c r="L1657" s="1519">
        <v>13139001202</v>
      </c>
      <c r="M1657" s="1520">
        <v>1</v>
      </c>
      <c r="N1657" s="1520">
        <v>0</v>
      </c>
      <c r="O1657" s="1521">
        <v>1</v>
      </c>
    </row>
    <row r="1658" spans="3:15" ht="13.5">
      <c r="C1658" s="1526" t="s">
        <v>5616</v>
      </c>
      <c r="D1658" s="1523">
        <v>1</v>
      </c>
      <c r="E1658" s="1523">
        <v>1</v>
      </c>
      <c r="F1658" s="1524">
        <v>2</v>
      </c>
      <c r="G1658" s="1537" t="s">
        <v>5616</v>
      </c>
      <c r="H1658" s="1521">
        <v>1</v>
      </c>
      <c r="I1658" s="1521">
        <v>0</v>
      </c>
      <c r="J1658" s="1538">
        <v>1</v>
      </c>
      <c r="K1658" s="1525"/>
      <c r="L1658" s="1519">
        <v>13139001301</v>
      </c>
      <c r="M1658" s="1520">
        <v>1</v>
      </c>
      <c r="N1658" s="1520">
        <v>1</v>
      </c>
      <c r="O1658" s="1521">
        <v>2</v>
      </c>
    </row>
    <row r="1659" spans="3:15" ht="13.5">
      <c r="C1659" s="1526" t="s">
        <v>5617</v>
      </c>
      <c r="D1659" s="1523">
        <v>1</v>
      </c>
      <c r="E1659" s="1523">
        <v>1</v>
      </c>
      <c r="F1659" s="1524">
        <v>2</v>
      </c>
      <c r="G1659" s="1537" t="s">
        <v>5617</v>
      </c>
      <c r="H1659" s="1521">
        <v>1</v>
      </c>
      <c r="I1659" s="1521">
        <v>1</v>
      </c>
      <c r="J1659" s="1538">
        <v>2</v>
      </c>
      <c r="K1659" s="1525"/>
      <c r="L1659" s="1519">
        <v>13139001302</v>
      </c>
      <c r="M1659" s="1520">
        <v>1</v>
      </c>
      <c r="N1659" s="1520">
        <v>1</v>
      </c>
      <c r="O1659" s="1521">
        <v>2</v>
      </c>
    </row>
    <row r="1660" spans="3:15" ht="13.5">
      <c r="C1660" s="1526" t="s">
        <v>5618</v>
      </c>
      <c r="D1660" s="1523">
        <v>1</v>
      </c>
      <c r="E1660" s="1523">
        <v>1</v>
      </c>
      <c r="F1660" s="1524">
        <v>2</v>
      </c>
      <c r="G1660" s="1537" t="s">
        <v>5618</v>
      </c>
      <c r="H1660" s="1521">
        <v>1</v>
      </c>
      <c r="I1660" s="1521">
        <v>0</v>
      </c>
      <c r="J1660" s="1538">
        <v>1</v>
      </c>
      <c r="K1660" s="1525"/>
      <c r="L1660" s="1519">
        <v>13139001402</v>
      </c>
      <c r="M1660" s="1520">
        <v>1</v>
      </c>
      <c r="N1660" s="1520">
        <v>1</v>
      </c>
      <c r="O1660" s="1521">
        <v>2</v>
      </c>
    </row>
    <row r="1661" spans="3:15" ht="13.5">
      <c r="C1661" s="1526" t="s">
        <v>5619</v>
      </c>
      <c r="D1661" s="1523">
        <v>0</v>
      </c>
      <c r="E1661" s="1523">
        <v>0</v>
      </c>
      <c r="F1661" s="1524">
        <v>0</v>
      </c>
      <c r="G1661" s="1537" t="s">
        <v>5619</v>
      </c>
      <c r="H1661" s="1521">
        <v>0</v>
      </c>
      <c r="I1661" s="1521">
        <v>0</v>
      </c>
      <c r="J1661" s="1538">
        <v>0</v>
      </c>
      <c r="K1661" s="1525"/>
      <c r="L1661" s="1519">
        <v>13139001403</v>
      </c>
      <c r="M1661" s="1520">
        <v>0</v>
      </c>
      <c r="N1661" s="1520">
        <v>0</v>
      </c>
      <c r="O1661" s="1521">
        <v>0</v>
      </c>
    </row>
    <row r="1662" spans="3:15" ht="13.5">
      <c r="C1662" s="1526" t="s">
        <v>5620</v>
      </c>
      <c r="D1662" s="1523">
        <v>1</v>
      </c>
      <c r="E1662" s="1523">
        <v>0</v>
      </c>
      <c r="F1662" s="1524">
        <v>1</v>
      </c>
      <c r="G1662" s="1537" t="s">
        <v>5620</v>
      </c>
      <c r="H1662" s="1521">
        <v>1</v>
      </c>
      <c r="I1662" s="1521">
        <v>0</v>
      </c>
      <c r="J1662" s="1538">
        <v>1</v>
      </c>
      <c r="K1662" s="1525"/>
      <c r="L1662" s="1519">
        <v>13139001404</v>
      </c>
      <c r="M1662" s="1520">
        <v>1</v>
      </c>
      <c r="N1662" s="1520">
        <v>0</v>
      </c>
      <c r="O1662" s="1521">
        <v>1</v>
      </c>
    </row>
    <row r="1663" spans="3:15" ht="13.5">
      <c r="C1663" s="1526" t="s">
        <v>5621</v>
      </c>
      <c r="D1663" s="1523">
        <v>1</v>
      </c>
      <c r="E1663" s="1523">
        <v>1</v>
      </c>
      <c r="F1663" s="1524">
        <v>2</v>
      </c>
      <c r="G1663" s="1537" t="s">
        <v>5621</v>
      </c>
      <c r="H1663" s="1521">
        <v>1</v>
      </c>
      <c r="I1663" s="1521">
        <v>1</v>
      </c>
      <c r="J1663" s="1538">
        <v>2</v>
      </c>
      <c r="K1663" s="1525"/>
      <c r="L1663" s="1519">
        <v>13139001501</v>
      </c>
      <c r="M1663" s="1520">
        <v>1</v>
      </c>
      <c r="N1663" s="1520">
        <v>1</v>
      </c>
      <c r="O1663" s="1521">
        <v>2</v>
      </c>
    </row>
    <row r="1664" spans="3:15" ht="13.5">
      <c r="C1664" s="1526" t="s">
        <v>5622</v>
      </c>
      <c r="D1664" s="1523">
        <v>1</v>
      </c>
      <c r="E1664" s="1523">
        <v>1</v>
      </c>
      <c r="F1664" s="1524">
        <v>2</v>
      </c>
      <c r="G1664" s="1537" t="s">
        <v>5622</v>
      </c>
      <c r="H1664" s="1521">
        <v>1</v>
      </c>
      <c r="I1664" s="1521">
        <v>1</v>
      </c>
      <c r="J1664" s="1538">
        <v>2</v>
      </c>
      <c r="K1664" s="1525"/>
      <c r="L1664" s="1519">
        <v>13139001502</v>
      </c>
      <c r="M1664" s="1520">
        <v>1</v>
      </c>
      <c r="N1664" s="1520">
        <v>1</v>
      </c>
      <c r="O1664" s="1521">
        <v>2</v>
      </c>
    </row>
    <row r="1665" spans="3:15" ht="13.5">
      <c r="C1665" s="1526" t="s">
        <v>5623</v>
      </c>
      <c r="D1665" s="1523">
        <v>1</v>
      </c>
      <c r="E1665" s="1523">
        <v>1</v>
      </c>
      <c r="F1665" s="1524">
        <v>2</v>
      </c>
      <c r="G1665" s="1537" t="s">
        <v>5623</v>
      </c>
      <c r="H1665" s="1521">
        <v>1</v>
      </c>
      <c r="I1665" s="1521">
        <v>0</v>
      </c>
      <c r="J1665" s="1538">
        <v>1</v>
      </c>
      <c r="K1665" s="1525"/>
      <c r="L1665" s="1519">
        <v>13139001603</v>
      </c>
      <c r="M1665" s="1520">
        <v>1</v>
      </c>
      <c r="N1665" s="1520">
        <v>1</v>
      </c>
      <c r="O1665" s="1521">
        <v>2</v>
      </c>
    </row>
    <row r="1666" spans="3:15" ht="13.5">
      <c r="C1666" s="1526" t="s">
        <v>5624</v>
      </c>
      <c r="D1666" s="1523">
        <v>1</v>
      </c>
      <c r="E1666" s="1523">
        <v>1</v>
      </c>
      <c r="F1666" s="1524">
        <v>2</v>
      </c>
      <c r="G1666" s="1537" t="s">
        <v>5624</v>
      </c>
      <c r="H1666" s="1521">
        <v>1</v>
      </c>
      <c r="I1666" s="1521">
        <v>1</v>
      </c>
      <c r="J1666" s="1538">
        <v>2</v>
      </c>
      <c r="K1666" s="1525"/>
      <c r="L1666" s="1519">
        <v>13139001604</v>
      </c>
      <c r="M1666" s="1520">
        <v>1</v>
      </c>
      <c r="N1666" s="1520">
        <v>1</v>
      </c>
      <c r="O1666" s="1521">
        <v>2</v>
      </c>
    </row>
    <row r="1667" spans="3:15" ht="13.5">
      <c r="C1667" s="1526" t="s">
        <v>5625</v>
      </c>
      <c r="D1667" s="1523">
        <v>1</v>
      </c>
      <c r="E1667" s="1523">
        <v>1</v>
      </c>
      <c r="F1667" s="1524">
        <v>2</v>
      </c>
      <c r="G1667" s="1537" t="s">
        <v>5625</v>
      </c>
      <c r="H1667" s="1521">
        <v>1</v>
      </c>
      <c r="I1667" s="1521" t="s">
        <v>4096</v>
      </c>
      <c r="J1667" s="1538">
        <v>1</v>
      </c>
      <c r="K1667" s="1525"/>
      <c r="L1667" s="1519">
        <v>13139001605</v>
      </c>
      <c r="M1667" s="1520">
        <v>1</v>
      </c>
      <c r="N1667" s="1520">
        <v>1</v>
      </c>
      <c r="O1667" s="1521">
        <v>2</v>
      </c>
    </row>
    <row r="1668" spans="3:15" ht="13.5">
      <c r="C1668" s="1526" t="s">
        <v>5626</v>
      </c>
      <c r="D1668" s="1523">
        <v>1</v>
      </c>
      <c r="E1668" s="1523">
        <v>1</v>
      </c>
      <c r="F1668" s="1524">
        <v>2</v>
      </c>
      <c r="G1668" s="1537" t="s">
        <v>5626</v>
      </c>
      <c r="H1668" s="1521">
        <v>1</v>
      </c>
      <c r="I1668" s="1521">
        <v>1</v>
      </c>
      <c r="J1668" s="1538">
        <v>2</v>
      </c>
      <c r="K1668" s="1525"/>
      <c r="L1668" s="1519">
        <v>13139001606</v>
      </c>
      <c r="M1668" s="1520">
        <v>1</v>
      </c>
      <c r="N1668" s="1520">
        <v>1</v>
      </c>
      <c r="O1668" s="1521">
        <v>2</v>
      </c>
    </row>
    <row r="1669" spans="3:15" ht="13.5">
      <c r="C1669" s="1526" t="s">
        <v>5627</v>
      </c>
      <c r="D1669" s="1523">
        <v>0</v>
      </c>
      <c r="E1669" s="1523">
        <v>1</v>
      </c>
      <c r="F1669" s="1524">
        <v>1</v>
      </c>
      <c r="G1669" s="1537" t="s">
        <v>5627</v>
      </c>
      <c r="H1669" s="1521">
        <v>1</v>
      </c>
      <c r="I1669" s="1521">
        <v>1</v>
      </c>
      <c r="J1669" s="1538">
        <v>2</v>
      </c>
      <c r="K1669" s="1525"/>
      <c r="L1669" s="1519">
        <v>13139001607</v>
      </c>
      <c r="M1669" s="1520">
        <v>1</v>
      </c>
      <c r="N1669" s="1520">
        <v>1</v>
      </c>
      <c r="O1669" s="1521">
        <v>2</v>
      </c>
    </row>
    <row r="1670" spans="3:15" ht="13.5">
      <c r="C1670" s="1526" t="s">
        <v>5628</v>
      </c>
      <c r="D1670" s="1523">
        <v>1</v>
      </c>
      <c r="E1670" s="1523">
        <v>1</v>
      </c>
      <c r="F1670" s="1524">
        <v>2</v>
      </c>
      <c r="G1670" s="1537" t="s">
        <v>5628</v>
      </c>
      <c r="H1670" s="1521">
        <v>1</v>
      </c>
      <c r="I1670" s="1521">
        <v>1</v>
      </c>
      <c r="J1670" s="1538">
        <v>2</v>
      </c>
      <c r="K1670" s="1525"/>
      <c r="L1670" s="1519">
        <v>13139001608</v>
      </c>
      <c r="M1670" s="1520">
        <v>1</v>
      </c>
      <c r="N1670" s="1520">
        <v>1</v>
      </c>
      <c r="O1670" s="1521">
        <v>2</v>
      </c>
    </row>
    <row r="1671" spans="3:15" ht="13.5">
      <c r="C1671" s="1526" t="s">
        <v>5629</v>
      </c>
      <c r="D1671" s="1523">
        <v>0</v>
      </c>
      <c r="E1671" s="1523">
        <v>0</v>
      </c>
      <c r="F1671" s="1524">
        <v>0</v>
      </c>
      <c r="G1671" s="1537" t="s">
        <v>5629</v>
      </c>
      <c r="H1671" s="1521">
        <v>0</v>
      </c>
      <c r="I1671" s="1521">
        <v>1</v>
      </c>
      <c r="J1671" s="1538">
        <v>1</v>
      </c>
      <c r="K1671" s="1525"/>
      <c r="L1671" s="1519">
        <v>13141480300</v>
      </c>
      <c r="M1671" s="1520">
        <v>0</v>
      </c>
      <c r="N1671" s="1520">
        <v>1</v>
      </c>
      <c r="O1671" s="1521">
        <v>1</v>
      </c>
    </row>
    <row r="1672" spans="3:15" ht="13.5">
      <c r="C1672" s="1526" t="s">
        <v>5630</v>
      </c>
      <c r="D1672" s="1523">
        <v>0</v>
      </c>
      <c r="E1672" s="1523">
        <v>0</v>
      </c>
      <c r="F1672" s="1524">
        <v>0</v>
      </c>
      <c r="G1672" s="1537" t="s">
        <v>5630</v>
      </c>
      <c r="H1672" s="1521">
        <v>0</v>
      </c>
      <c r="I1672" s="1521">
        <v>1</v>
      </c>
      <c r="J1672" s="1538">
        <v>1</v>
      </c>
      <c r="K1672" s="1525"/>
      <c r="L1672" s="1519">
        <v>13141480400</v>
      </c>
      <c r="M1672" s="1520">
        <v>0</v>
      </c>
      <c r="N1672" s="1520">
        <v>1</v>
      </c>
      <c r="O1672" s="1521">
        <v>1</v>
      </c>
    </row>
    <row r="1673" spans="3:15" ht="13.5">
      <c r="C1673" s="1526" t="s">
        <v>5631</v>
      </c>
      <c r="D1673" s="1523">
        <v>0</v>
      </c>
      <c r="E1673" s="1523">
        <v>0</v>
      </c>
      <c r="F1673" s="1524">
        <v>0</v>
      </c>
      <c r="G1673" s="1537" t="s">
        <v>5631</v>
      </c>
      <c r="H1673" s="1521">
        <v>0</v>
      </c>
      <c r="I1673" s="1521">
        <v>0</v>
      </c>
      <c r="J1673" s="1538">
        <v>0</v>
      </c>
      <c r="K1673" s="1525"/>
      <c r="L1673" s="1519">
        <v>13143010100</v>
      </c>
      <c r="M1673" s="1520">
        <v>0</v>
      </c>
      <c r="N1673" s="1520">
        <v>0</v>
      </c>
      <c r="O1673" s="1521">
        <v>0</v>
      </c>
    </row>
    <row r="1674" spans="3:15" ht="13.5">
      <c r="C1674" s="1526" t="s">
        <v>5632</v>
      </c>
      <c r="D1674" s="1523">
        <v>0</v>
      </c>
      <c r="E1674" s="1523">
        <v>1</v>
      </c>
      <c r="F1674" s="1524">
        <v>1</v>
      </c>
      <c r="G1674" s="1537" t="s">
        <v>5632</v>
      </c>
      <c r="H1674" s="1521">
        <v>0</v>
      </c>
      <c r="I1674" s="1521">
        <v>0</v>
      </c>
      <c r="J1674" s="1538">
        <v>0</v>
      </c>
      <c r="K1674" s="1525"/>
      <c r="L1674" s="1519">
        <v>13143010200</v>
      </c>
      <c r="M1674" s="1520">
        <v>0</v>
      </c>
      <c r="N1674" s="1520">
        <v>1</v>
      </c>
      <c r="O1674" s="1521">
        <v>1</v>
      </c>
    </row>
    <row r="1675" spans="3:15" ht="13.5">
      <c r="C1675" s="1526" t="s">
        <v>5633</v>
      </c>
      <c r="D1675" s="1523">
        <v>0</v>
      </c>
      <c r="E1675" s="1523">
        <v>0</v>
      </c>
      <c r="F1675" s="1524">
        <v>0</v>
      </c>
      <c r="G1675" s="1537" t="s">
        <v>5633</v>
      </c>
      <c r="H1675" s="1521">
        <v>0</v>
      </c>
      <c r="I1675" s="1521">
        <v>0</v>
      </c>
      <c r="J1675" s="1538">
        <v>0</v>
      </c>
      <c r="K1675" s="1525"/>
      <c r="L1675" s="1519">
        <v>13143010301</v>
      </c>
      <c r="M1675" s="1520">
        <v>0</v>
      </c>
      <c r="N1675" s="1520">
        <v>0</v>
      </c>
      <c r="O1675" s="1521">
        <v>0</v>
      </c>
    </row>
    <row r="1676" spans="3:15" ht="13.5">
      <c r="C1676" s="1526" t="s">
        <v>5634</v>
      </c>
      <c r="D1676" s="1523">
        <v>0</v>
      </c>
      <c r="E1676" s="1523">
        <v>0</v>
      </c>
      <c r="F1676" s="1524">
        <v>0</v>
      </c>
      <c r="G1676" s="1537" t="s">
        <v>5634</v>
      </c>
      <c r="H1676" s="1521">
        <v>1</v>
      </c>
      <c r="I1676" s="1521">
        <v>0</v>
      </c>
      <c r="J1676" s="1538">
        <v>1</v>
      </c>
      <c r="K1676" s="1525"/>
      <c r="L1676" s="1519">
        <v>13143010302</v>
      </c>
      <c r="M1676" s="1520">
        <v>1</v>
      </c>
      <c r="N1676" s="1520">
        <v>0</v>
      </c>
      <c r="O1676" s="1521">
        <v>1</v>
      </c>
    </row>
    <row r="1677" spans="3:15" ht="13.5">
      <c r="C1677" s="1526" t="s">
        <v>5635</v>
      </c>
      <c r="D1677" s="1523">
        <v>0</v>
      </c>
      <c r="E1677" s="1523">
        <v>0</v>
      </c>
      <c r="F1677" s="1524">
        <v>0</v>
      </c>
      <c r="G1677" s="1537" t="s">
        <v>5635</v>
      </c>
      <c r="H1677" s="1521">
        <v>0</v>
      </c>
      <c r="I1677" s="1521">
        <v>0</v>
      </c>
      <c r="J1677" s="1538">
        <v>0</v>
      </c>
      <c r="K1677" s="1525"/>
      <c r="L1677" s="1519">
        <v>13143010400</v>
      </c>
      <c r="M1677" s="1520">
        <v>0</v>
      </c>
      <c r="N1677" s="1520">
        <v>0</v>
      </c>
      <c r="O1677" s="1521">
        <v>0</v>
      </c>
    </row>
    <row r="1678" spans="3:15" ht="13.5">
      <c r="C1678" s="1526" t="s">
        <v>5636</v>
      </c>
      <c r="D1678" s="1523">
        <v>0</v>
      </c>
      <c r="E1678" s="1523">
        <v>0</v>
      </c>
      <c r="F1678" s="1524">
        <v>0</v>
      </c>
      <c r="G1678" s="1537" t="s">
        <v>5636</v>
      </c>
      <c r="H1678" s="1521">
        <v>0</v>
      </c>
      <c r="I1678" s="1521">
        <v>1</v>
      </c>
      <c r="J1678" s="1538">
        <v>1</v>
      </c>
      <c r="K1678" s="1525"/>
      <c r="L1678" s="1519">
        <v>13145120198</v>
      </c>
      <c r="M1678" s="1520">
        <v>0</v>
      </c>
      <c r="N1678" s="1520">
        <v>1</v>
      </c>
      <c r="O1678" s="1521">
        <v>1</v>
      </c>
    </row>
    <row r="1679" spans="3:15" ht="13.5">
      <c r="C1679" s="1526" t="s">
        <v>5637</v>
      </c>
      <c r="D1679" s="1523">
        <v>0</v>
      </c>
      <c r="E1679" s="1523">
        <v>1</v>
      </c>
      <c r="F1679" s="1524">
        <v>1</v>
      </c>
      <c r="G1679" s="1537" t="s">
        <v>5637</v>
      </c>
      <c r="H1679" s="1521">
        <v>0</v>
      </c>
      <c r="I1679" s="1521" t="s">
        <v>4096</v>
      </c>
      <c r="J1679" s="1538">
        <v>0</v>
      </c>
      <c r="K1679" s="1525"/>
      <c r="L1679" s="1519">
        <v>13145120200</v>
      </c>
      <c r="M1679" s="1520">
        <v>0</v>
      </c>
      <c r="N1679" s="1520">
        <v>1</v>
      </c>
      <c r="O1679" s="1521">
        <v>1</v>
      </c>
    </row>
    <row r="1680" spans="3:15" ht="13.5">
      <c r="C1680" s="1526" t="s">
        <v>5638</v>
      </c>
      <c r="D1680" s="1523">
        <v>1</v>
      </c>
      <c r="E1680" s="1523">
        <v>1</v>
      </c>
      <c r="F1680" s="1524">
        <v>2</v>
      </c>
      <c r="G1680" s="1537" t="s">
        <v>5638</v>
      </c>
      <c r="H1680" s="1521">
        <v>1</v>
      </c>
      <c r="I1680" s="1521">
        <v>1</v>
      </c>
      <c r="J1680" s="1538">
        <v>2</v>
      </c>
      <c r="K1680" s="1525"/>
      <c r="L1680" s="1519">
        <v>13145120300</v>
      </c>
      <c r="M1680" s="1520">
        <v>1</v>
      </c>
      <c r="N1680" s="1520">
        <v>1</v>
      </c>
      <c r="O1680" s="1521">
        <v>2</v>
      </c>
    </row>
    <row r="1681" spans="3:15" ht="13.5">
      <c r="C1681" s="1526" t="s">
        <v>5639</v>
      </c>
      <c r="D1681" s="1523">
        <v>1</v>
      </c>
      <c r="E1681" s="1523">
        <v>1</v>
      </c>
      <c r="F1681" s="1524">
        <v>2</v>
      </c>
      <c r="G1681" s="1537" t="s">
        <v>5639</v>
      </c>
      <c r="H1681" s="1521">
        <v>1</v>
      </c>
      <c r="I1681" s="1521">
        <v>1</v>
      </c>
      <c r="J1681" s="1538">
        <v>2</v>
      </c>
      <c r="K1681" s="1525"/>
      <c r="L1681" s="1519">
        <v>13145120401</v>
      </c>
      <c r="M1681" s="1520">
        <v>1</v>
      </c>
      <c r="N1681" s="1520">
        <v>1</v>
      </c>
      <c r="O1681" s="1521">
        <v>2</v>
      </c>
    </row>
    <row r="1682" spans="3:15" ht="13.5">
      <c r="C1682" s="1526" t="s">
        <v>5640</v>
      </c>
      <c r="D1682" s="1523">
        <v>1</v>
      </c>
      <c r="E1682" s="1523">
        <v>1</v>
      </c>
      <c r="F1682" s="1524">
        <v>2</v>
      </c>
      <c r="G1682" s="1537" t="s">
        <v>5640</v>
      </c>
      <c r="H1682" s="1521">
        <v>0</v>
      </c>
      <c r="I1682" s="1521">
        <v>1</v>
      </c>
      <c r="J1682" s="1538">
        <v>1</v>
      </c>
      <c r="K1682" s="1525"/>
      <c r="L1682" s="1519">
        <v>13145120402</v>
      </c>
      <c r="M1682" s="1520">
        <v>1</v>
      </c>
      <c r="N1682" s="1520">
        <v>1</v>
      </c>
      <c r="O1682" s="1521">
        <v>2</v>
      </c>
    </row>
    <row r="1683" spans="3:15" ht="13.5">
      <c r="C1683" s="1526" t="s">
        <v>5641</v>
      </c>
      <c r="D1683" s="1523">
        <v>0</v>
      </c>
      <c r="E1683" s="1523">
        <v>1</v>
      </c>
      <c r="F1683" s="1524">
        <v>1</v>
      </c>
      <c r="G1683" s="1537" t="s">
        <v>5641</v>
      </c>
      <c r="H1683" s="1521">
        <v>0</v>
      </c>
      <c r="I1683" s="1521">
        <v>1</v>
      </c>
      <c r="J1683" s="1538">
        <v>1</v>
      </c>
      <c r="K1683" s="1525"/>
      <c r="L1683" s="1519">
        <v>13147960100</v>
      </c>
      <c r="M1683" s="1520">
        <v>0</v>
      </c>
      <c r="N1683" s="1520">
        <v>1</v>
      </c>
      <c r="O1683" s="1521">
        <v>1</v>
      </c>
    </row>
    <row r="1684" spans="3:15" ht="13.5">
      <c r="C1684" s="1526" t="s">
        <v>5642</v>
      </c>
      <c r="D1684" s="1523">
        <v>1</v>
      </c>
      <c r="E1684" s="1523">
        <v>1</v>
      </c>
      <c r="F1684" s="1524">
        <v>2</v>
      </c>
      <c r="G1684" s="1537" t="s">
        <v>5642</v>
      </c>
      <c r="H1684" s="1521">
        <v>0</v>
      </c>
      <c r="I1684" s="1521">
        <v>1</v>
      </c>
      <c r="J1684" s="1538">
        <v>1</v>
      </c>
      <c r="K1684" s="1525"/>
      <c r="L1684" s="1519">
        <v>13147960200</v>
      </c>
      <c r="M1684" s="1520">
        <v>1</v>
      </c>
      <c r="N1684" s="1520">
        <v>1</v>
      </c>
      <c r="O1684" s="1521">
        <v>2</v>
      </c>
    </row>
    <row r="1685" spans="3:15" ht="13.5">
      <c r="C1685" s="1526" t="s">
        <v>5643</v>
      </c>
      <c r="D1685" s="1523">
        <v>0</v>
      </c>
      <c r="E1685" s="1523">
        <v>0</v>
      </c>
      <c r="F1685" s="1524">
        <v>0</v>
      </c>
      <c r="G1685" s="1537" t="s">
        <v>5643</v>
      </c>
      <c r="H1685" s="1521">
        <v>0</v>
      </c>
      <c r="I1685" s="1521">
        <v>0</v>
      </c>
      <c r="J1685" s="1538">
        <v>0</v>
      </c>
      <c r="K1685" s="1525"/>
      <c r="L1685" s="1519">
        <v>13147960300</v>
      </c>
      <c r="M1685" s="1520">
        <v>0</v>
      </c>
      <c r="N1685" s="1520">
        <v>0</v>
      </c>
      <c r="O1685" s="1521">
        <v>0</v>
      </c>
    </row>
    <row r="1686" spans="3:15" ht="13.5">
      <c r="C1686" s="1526" t="s">
        <v>5644</v>
      </c>
      <c r="D1686" s="1523">
        <v>0</v>
      </c>
      <c r="E1686" s="1523">
        <v>0</v>
      </c>
      <c r="F1686" s="1524">
        <v>0</v>
      </c>
      <c r="G1686" s="1537" t="s">
        <v>5644</v>
      </c>
      <c r="H1686" s="1521">
        <v>0</v>
      </c>
      <c r="I1686" s="1521">
        <v>0</v>
      </c>
      <c r="J1686" s="1538">
        <v>0</v>
      </c>
      <c r="K1686" s="1525"/>
      <c r="L1686" s="1519">
        <v>13147960400</v>
      </c>
      <c r="M1686" s="1520">
        <v>0</v>
      </c>
      <c r="N1686" s="1520">
        <v>0</v>
      </c>
      <c r="O1686" s="1521">
        <v>0</v>
      </c>
    </row>
    <row r="1687" spans="3:15" ht="13.5">
      <c r="C1687" s="1526" t="s">
        <v>5645</v>
      </c>
      <c r="D1687" s="1523">
        <v>0</v>
      </c>
      <c r="E1687" s="1523">
        <v>0</v>
      </c>
      <c r="F1687" s="1524">
        <v>0</v>
      </c>
      <c r="G1687" s="1537" t="s">
        <v>5645</v>
      </c>
      <c r="H1687" s="1521">
        <v>0</v>
      </c>
      <c r="I1687" s="1521">
        <v>1</v>
      </c>
      <c r="J1687" s="1538">
        <v>1</v>
      </c>
      <c r="K1687" s="1525"/>
      <c r="L1687" s="1519">
        <v>13147960500</v>
      </c>
      <c r="M1687" s="1520">
        <v>0</v>
      </c>
      <c r="N1687" s="1520">
        <v>1</v>
      </c>
      <c r="O1687" s="1521">
        <v>1</v>
      </c>
    </row>
    <row r="1688" spans="3:15" ht="13.5">
      <c r="C1688" s="1526" t="s">
        <v>5646</v>
      </c>
      <c r="D1688" s="1523">
        <v>0</v>
      </c>
      <c r="E1688" s="1523">
        <v>0</v>
      </c>
      <c r="F1688" s="1524">
        <v>0</v>
      </c>
      <c r="G1688" s="1537" t="s">
        <v>5646</v>
      </c>
      <c r="H1688" s="1521">
        <v>0</v>
      </c>
      <c r="I1688" s="1521">
        <v>0</v>
      </c>
      <c r="J1688" s="1538">
        <v>0</v>
      </c>
      <c r="K1688" s="1525"/>
      <c r="L1688" s="1519">
        <v>13149970100</v>
      </c>
      <c r="M1688" s="1520">
        <v>0</v>
      </c>
      <c r="N1688" s="1520">
        <v>0</v>
      </c>
      <c r="O1688" s="1521">
        <v>0</v>
      </c>
    </row>
    <row r="1689" spans="3:15" ht="13.5">
      <c r="C1689" s="1526" t="s">
        <v>5647</v>
      </c>
      <c r="D1689" s="1523">
        <v>0</v>
      </c>
      <c r="E1689" s="1523">
        <v>1</v>
      </c>
      <c r="F1689" s="1524">
        <v>1</v>
      </c>
      <c r="G1689" s="1537" t="s">
        <v>5647</v>
      </c>
      <c r="H1689" s="1521">
        <v>0</v>
      </c>
      <c r="I1689" s="1521">
        <v>1</v>
      </c>
      <c r="J1689" s="1538">
        <v>1</v>
      </c>
      <c r="K1689" s="1525"/>
      <c r="L1689" s="1519">
        <v>13149970200</v>
      </c>
      <c r="M1689" s="1520">
        <v>0</v>
      </c>
      <c r="N1689" s="1520">
        <v>1</v>
      </c>
      <c r="O1689" s="1521">
        <v>1</v>
      </c>
    </row>
    <row r="1690" spans="3:15" ht="13.5">
      <c r="C1690" s="1526" t="s">
        <v>5648</v>
      </c>
      <c r="D1690" s="1523">
        <v>0</v>
      </c>
      <c r="E1690" s="1523">
        <v>0</v>
      </c>
      <c r="F1690" s="1524">
        <v>0</v>
      </c>
      <c r="G1690" s="1537" t="s">
        <v>5648</v>
      </c>
      <c r="H1690" s="1521">
        <v>1</v>
      </c>
      <c r="I1690" s="1521">
        <v>0</v>
      </c>
      <c r="J1690" s="1538">
        <v>1</v>
      </c>
      <c r="K1690" s="1525"/>
      <c r="L1690" s="1519">
        <v>13149970300</v>
      </c>
      <c r="M1690" s="1520">
        <v>1</v>
      </c>
      <c r="N1690" s="1520">
        <v>0</v>
      </c>
      <c r="O1690" s="1521">
        <v>1</v>
      </c>
    </row>
    <row r="1691" spans="3:15" ht="13.5">
      <c r="C1691" s="1526" t="s">
        <v>5649</v>
      </c>
      <c r="D1691" s="1523">
        <v>1</v>
      </c>
      <c r="E1691" s="1523">
        <v>1</v>
      </c>
      <c r="F1691" s="1524">
        <v>2</v>
      </c>
      <c r="G1691" s="1537" t="s">
        <v>5649</v>
      </c>
      <c r="H1691" s="1521">
        <v>1</v>
      </c>
      <c r="I1691" s="1521">
        <v>1</v>
      </c>
      <c r="J1691" s="1538">
        <v>2</v>
      </c>
      <c r="K1691" s="1525"/>
      <c r="L1691" s="1519">
        <v>13151070104</v>
      </c>
      <c r="M1691" s="1520">
        <v>1</v>
      </c>
      <c r="N1691" s="1520">
        <v>1</v>
      </c>
      <c r="O1691" s="1521">
        <v>2</v>
      </c>
    </row>
    <row r="1692" spans="3:15" ht="13.5">
      <c r="C1692" s="1526" t="s">
        <v>5650</v>
      </c>
      <c r="D1692" s="1523">
        <v>0</v>
      </c>
      <c r="E1692" s="1523">
        <v>0</v>
      </c>
      <c r="F1692" s="1524">
        <v>0</v>
      </c>
      <c r="G1692" s="1537" t="s">
        <v>5650</v>
      </c>
      <c r="H1692" s="1521">
        <v>0</v>
      </c>
      <c r="I1692" s="1521">
        <v>0</v>
      </c>
      <c r="J1692" s="1538">
        <v>0</v>
      </c>
      <c r="K1692" s="1525"/>
      <c r="L1692" s="1519">
        <v>13151070106</v>
      </c>
      <c r="M1692" s="1520">
        <v>0</v>
      </c>
      <c r="N1692" s="1520">
        <v>0</v>
      </c>
      <c r="O1692" s="1521">
        <v>0</v>
      </c>
    </row>
    <row r="1693" spans="3:15" ht="13.5">
      <c r="C1693" s="1526" t="s">
        <v>5651</v>
      </c>
      <c r="D1693" s="1523">
        <v>1</v>
      </c>
      <c r="E1693" s="1523">
        <v>1</v>
      </c>
      <c r="F1693" s="1524">
        <v>2</v>
      </c>
      <c r="G1693" s="1537" t="s">
        <v>5651</v>
      </c>
      <c r="H1693" s="1521">
        <v>1</v>
      </c>
      <c r="I1693" s="1521">
        <v>1</v>
      </c>
      <c r="J1693" s="1538">
        <v>2</v>
      </c>
      <c r="K1693" s="1525"/>
      <c r="L1693" s="1519">
        <v>13151070107</v>
      </c>
      <c r="M1693" s="1520">
        <v>1</v>
      </c>
      <c r="N1693" s="1520">
        <v>1</v>
      </c>
      <c r="O1693" s="1521">
        <v>2</v>
      </c>
    </row>
    <row r="1694" spans="3:15" ht="13.5">
      <c r="C1694" s="1526" t="s">
        <v>5652</v>
      </c>
      <c r="D1694" s="1523">
        <v>1</v>
      </c>
      <c r="E1694" s="1523">
        <v>1</v>
      </c>
      <c r="F1694" s="1524">
        <v>2</v>
      </c>
      <c r="G1694" s="1537" t="s">
        <v>5652</v>
      </c>
      <c r="H1694" s="1521">
        <v>1</v>
      </c>
      <c r="I1694" s="1521">
        <v>1</v>
      </c>
      <c r="J1694" s="1538">
        <v>2</v>
      </c>
      <c r="K1694" s="1525"/>
      <c r="L1694" s="1519">
        <v>13151070108</v>
      </c>
      <c r="M1694" s="1520">
        <v>1</v>
      </c>
      <c r="N1694" s="1520">
        <v>1</v>
      </c>
      <c r="O1694" s="1521">
        <v>2</v>
      </c>
    </row>
    <row r="1695" spans="3:15" ht="13.5">
      <c r="C1695" s="1526" t="s">
        <v>5653</v>
      </c>
      <c r="D1695" s="1523">
        <v>1</v>
      </c>
      <c r="E1695" s="1523">
        <v>1</v>
      </c>
      <c r="F1695" s="1524">
        <v>2</v>
      </c>
      <c r="G1695" s="1537" t="s">
        <v>5653</v>
      </c>
      <c r="H1695" s="1521">
        <v>1</v>
      </c>
      <c r="I1695" s="1521">
        <v>1</v>
      </c>
      <c r="J1695" s="1538">
        <v>2</v>
      </c>
      <c r="K1695" s="1525"/>
      <c r="L1695" s="1519">
        <v>13151070109</v>
      </c>
      <c r="M1695" s="1520">
        <v>1</v>
      </c>
      <c r="N1695" s="1520">
        <v>1</v>
      </c>
      <c r="O1695" s="1521">
        <v>2</v>
      </c>
    </row>
    <row r="1696" spans="3:15" ht="13.5">
      <c r="C1696" s="1526" t="s">
        <v>5654</v>
      </c>
      <c r="D1696" s="1523">
        <v>1</v>
      </c>
      <c r="E1696" s="1523">
        <v>1</v>
      </c>
      <c r="F1696" s="1524">
        <v>2</v>
      </c>
      <c r="G1696" s="1537" t="s">
        <v>5654</v>
      </c>
      <c r="H1696" s="1521">
        <v>1</v>
      </c>
      <c r="I1696" s="1521">
        <v>1</v>
      </c>
      <c r="J1696" s="1538">
        <v>2</v>
      </c>
      <c r="K1696" s="1525"/>
      <c r="L1696" s="1519">
        <v>13151070110</v>
      </c>
      <c r="M1696" s="1520">
        <v>1</v>
      </c>
      <c r="N1696" s="1520">
        <v>1</v>
      </c>
      <c r="O1696" s="1521">
        <v>2</v>
      </c>
    </row>
    <row r="1697" spans="3:15" ht="13.5">
      <c r="C1697" s="1526" t="s">
        <v>5655</v>
      </c>
      <c r="D1697" s="1523">
        <v>0</v>
      </c>
      <c r="E1697" s="1523">
        <v>0</v>
      </c>
      <c r="F1697" s="1524">
        <v>0</v>
      </c>
      <c r="G1697" s="1537" t="s">
        <v>5655</v>
      </c>
      <c r="H1697" s="1521">
        <v>0</v>
      </c>
      <c r="I1697" s="1521">
        <v>0</v>
      </c>
      <c r="J1697" s="1538">
        <v>0</v>
      </c>
      <c r="K1697" s="1525"/>
      <c r="L1697" s="1519">
        <v>13151070111</v>
      </c>
      <c r="M1697" s="1520">
        <v>0</v>
      </c>
      <c r="N1697" s="1520">
        <v>0</v>
      </c>
      <c r="O1697" s="1521">
        <v>0</v>
      </c>
    </row>
    <row r="1698" spans="3:15" ht="13.5">
      <c r="C1698" s="1526" t="s">
        <v>5656</v>
      </c>
      <c r="D1698" s="1523">
        <v>0</v>
      </c>
      <c r="E1698" s="1523">
        <v>0</v>
      </c>
      <c r="F1698" s="1524">
        <v>0</v>
      </c>
      <c r="G1698" s="1537" t="s">
        <v>5656</v>
      </c>
      <c r="H1698" s="1521">
        <v>0</v>
      </c>
      <c r="I1698" s="1521">
        <v>0</v>
      </c>
      <c r="J1698" s="1538">
        <v>0</v>
      </c>
      <c r="K1698" s="1525"/>
      <c r="L1698" s="1519">
        <v>13151070113</v>
      </c>
      <c r="M1698" s="1520">
        <v>0</v>
      </c>
      <c r="N1698" s="1520">
        <v>0</v>
      </c>
      <c r="O1698" s="1521">
        <v>0</v>
      </c>
    </row>
    <row r="1699" spans="3:15" ht="13.5">
      <c r="C1699" s="1526" t="s">
        <v>5657</v>
      </c>
      <c r="D1699" s="1523">
        <v>0</v>
      </c>
      <c r="E1699" s="1523">
        <v>1</v>
      </c>
      <c r="F1699" s="1524">
        <v>1</v>
      </c>
      <c r="G1699" s="1537" t="s">
        <v>5657</v>
      </c>
      <c r="H1699" s="1521">
        <v>0</v>
      </c>
      <c r="I1699" s="1521">
        <v>1</v>
      </c>
      <c r="J1699" s="1538">
        <v>1</v>
      </c>
      <c r="K1699" s="1525"/>
      <c r="L1699" s="1519">
        <v>13151070114</v>
      </c>
      <c r="M1699" s="1520">
        <v>0</v>
      </c>
      <c r="N1699" s="1520">
        <v>1</v>
      </c>
      <c r="O1699" s="1521">
        <v>1</v>
      </c>
    </row>
    <row r="1700" spans="3:15" ht="13.5">
      <c r="C1700" s="1526" t="s">
        <v>5658</v>
      </c>
      <c r="D1700" s="1523">
        <v>1</v>
      </c>
      <c r="E1700" s="1523">
        <v>1</v>
      </c>
      <c r="F1700" s="1524">
        <v>2</v>
      </c>
      <c r="G1700" s="1537" t="s">
        <v>5658</v>
      </c>
      <c r="H1700" s="1521">
        <v>1</v>
      </c>
      <c r="I1700" s="1521">
        <v>1</v>
      </c>
      <c r="J1700" s="1538">
        <v>2</v>
      </c>
      <c r="K1700" s="1525"/>
      <c r="L1700" s="1519">
        <v>13151070202</v>
      </c>
      <c r="M1700" s="1520">
        <v>1</v>
      </c>
      <c r="N1700" s="1520">
        <v>1</v>
      </c>
      <c r="O1700" s="1521">
        <v>2</v>
      </c>
    </row>
    <row r="1701" spans="3:15" ht="13.5">
      <c r="C1701" s="1526" t="s">
        <v>5659</v>
      </c>
      <c r="D1701" s="1523">
        <v>1</v>
      </c>
      <c r="E1701" s="1523">
        <v>1</v>
      </c>
      <c r="F1701" s="1524">
        <v>2</v>
      </c>
      <c r="G1701" s="1537" t="s">
        <v>5659</v>
      </c>
      <c r="H1701" s="1521">
        <v>1</v>
      </c>
      <c r="I1701" s="1521">
        <v>1</v>
      </c>
      <c r="J1701" s="1538">
        <v>2</v>
      </c>
      <c r="K1701" s="1525"/>
      <c r="L1701" s="1519">
        <v>13151070203</v>
      </c>
      <c r="M1701" s="1520">
        <v>1</v>
      </c>
      <c r="N1701" s="1520">
        <v>1</v>
      </c>
      <c r="O1701" s="1521">
        <v>2</v>
      </c>
    </row>
    <row r="1702" spans="3:15" ht="13.5">
      <c r="C1702" s="1526" t="s">
        <v>5660</v>
      </c>
      <c r="D1702" s="1523">
        <v>1</v>
      </c>
      <c r="E1702" s="1523">
        <v>1</v>
      </c>
      <c r="F1702" s="1524">
        <v>2</v>
      </c>
      <c r="G1702" s="1537" t="s">
        <v>5660</v>
      </c>
      <c r="H1702" s="1521">
        <v>1</v>
      </c>
      <c r="I1702" s="1521">
        <v>1</v>
      </c>
      <c r="J1702" s="1538">
        <v>2</v>
      </c>
      <c r="K1702" s="1525"/>
      <c r="L1702" s="1519">
        <v>13151070204</v>
      </c>
      <c r="M1702" s="1520">
        <v>1</v>
      </c>
      <c r="N1702" s="1520">
        <v>1</v>
      </c>
      <c r="O1702" s="1521">
        <v>2</v>
      </c>
    </row>
    <row r="1703" spans="3:15" ht="13.5">
      <c r="C1703" s="1526" t="s">
        <v>5661</v>
      </c>
      <c r="D1703" s="1523">
        <v>0</v>
      </c>
      <c r="E1703" s="1523">
        <v>1</v>
      </c>
      <c r="F1703" s="1524">
        <v>1</v>
      </c>
      <c r="G1703" s="1537" t="s">
        <v>5661</v>
      </c>
      <c r="H1703" s="1521">
        <v>0</v>
      </c>
      <c r="I1703" s="1521">
        <v>1</v>
      </c>
      <c r="J1703" s="1538">
        <v>1</v>
      </c>
      <c r="K1703" s="1525"/>
      <c r="L1703" s="1519">
        <v>13151070205</v>
      </c>
      <c r="M1703" s="1520">
        <v>0</v>
      </c>
      <c r="N1703" s="1520">
        <v>1</v>
      </c>
      <c r="O1703" s="1521">
        <v>1</v>
      </c>
    </row>
    <row r="1704" spans="3:15" ht="13.5">
      <c r="C1704" s="1526" t="s">
        <v>5662</v>
      </c>
      <c r="D1704" s="1523">
        <v>0</v>
      </c>
      <c r="E1704" s="1523">
        <v>0</v>
      </c>
      <c r="F1704" s="1524">
        <v>0</v>
      </c>
      <c r="G1704" s="1537" t="s">
        <v>5662</v>
      </c>
      <c r="H1704" s="1521">
        <v>0</v>
      </c>
      <c r="I1704" s="1521">
        <v>1</v>
      </c>
      <c r="J1704" s="1538">
        <v>1</v>
      </c>
      <c r="K1704" s="1525"/>
      <c r="L1704" s="1519">
        <v>13151070304</v>
      </c>
      <c r="M1704" s="1520">
        <v>0</v>
      </c>
      <c r="N1704" s="1520">
        <v>1</v>
      </c>
      <c r="O1704" s="1521">
        <v>1</v>
      </c>
    </row>
    <row r="1705" spans="3:15" ht="13.5">
      <c r="C1705" s="1526" t="s">
        <v>5663</v>
      </c>
      <c r="D1705" s="1523">
        <v>1</v>
      </c>
      <c r="E1705" s="1523">
        <v>1</v>
      </c>
      <c r="F1705" s="1524">
        <v>2</v>
      </c>
      <c r="G1705" s="1537" t="s">
        <v>5663</v>
      </c>
      <c r="H1705" s="1521">
        <v>1</v>
      </c>
      <c r="I1705" s="1521" t="s">
        <v>4096</v>
      </c>
      <c r="J1705" s="1538">
        <v>1</v>
      </c>
      <c r="K1705" s="1525"/>
      <c r="L1705" s="1519">
        <v>13151070305</v>
      </c>
      <c r="M1705" s="1520">
        <v>1</v>
      </c>
      <c r="N1705" s="1520">
        <v>1</v>
      </c>
      <c r="O1705" s="1521">
        <v>2</v>
      </c>
    </row>
    <row r="1706" spans="3:15" ht="13.5">
      <c r="C1706" s="1526" t="s">
        <v>5664</v>
      </c>
      <c r="D1706" s="1523">
        <v>1</v>
      </c>
      <c r="E1706" s="1523">
        <v>1</v>
      </c>
      <c r="F1706" s="1524">
        <v>2</v>
      </c>
      <c r="G1706" s="1537" t="s">
        <v>5664</v>
      </c>
      <c r="H1706" s="1521">
        <v>1</v>
      </c>
      <c r="I1706" s="1521">
        <v>1</v>
      </c>
      <c r="J1706" s="1538">
        <v>2</v>
      </c>
      <c r="K1706" s="1525"/>
      <c r="L1706" s="1519">
        <v>13151070306</v>
      </c>
      <c r="M1706" s="1520">
        <v>1</v>
      </c>
      <c r="N1706" s="1520">
        <v>1</v>
      </c>
      <c r="O1706" s="1521">
        <v>2</v>
      </c>
    </row>
    <row r="1707" spans="3:15" ht="13.5">
      <c r="C1707" s="1526" t="s">
        <v>5665</v>
      </c>
      <c r="D1707" s="1523">
        <v>1</v>
      </c>
      <c r="E1707" s="1523">
        <v>1</v>
      </c>
      <c r="F1707" s="1524">
        <v>2</v>
      </c>
      <c r="G1707" s="1537" t="s">
        <v>5665</v>
      </c>
      <c r="H1707" s="1521">
        <v>1</v>
      </c>
      <c r="I1707" s="1521">
        <v>1</v>
      </c>
      <c r="J1707" s="1538">
        <v>2</v>
      </c>
      <c r="K1707" s="1525"/>
      <c r="L1707" s="1519">
        <v>13151070307</v>
      </c>
      <c r="M1707" s="1520">
        <v>1</v>
      </c>
      <c r="N1707" s="1520">
        <v>1</v>
      </c>
      <c r="O1707" s="1521">
        <v>2</v>
      </c>
    </row>
    <row r="1708" spans="3:15" ht="13.5">
      <c r="C1708" s="1526" t="s">
        <v>5666</v>
      </c>
      <c r="D1708" s="1523">
        <v>1</v>
      </c>
      <c r="E1708" s="1523">
        <v>1</v>
      </c>
      <c r="F1708" s="1524">
        <v>2</v>
      </c>
      <c r="G1708" s="1537" t="s">
        <v>5666</v>
      </c>
      <c r="H1708" s="1521">
        <v>1</v>
      </c>
      <c r="I1708" s="1521">
        <v>1</v>
      </c>
      <c r="J1708" s="1538">
        <v>2</v>
      </c>
      <c r="K1708" s="1525"/>
      <c r="L1708" s="1519">
        <v>13151070309</v>
      </c>
      <c r="M1708" s="1520">
        <v>1</v>
      </c>
      <c r="N1708" s="1520">
        <v>1</v>
      </c>
      <c r="O1708" s="1521">
        <v>2</v>
      </c>
    </row>
    <row r="1709" spans="3:15" ht="13.5">
      <c r="C1709" s="1526" t="s">
        <v>5667</v>
      </c>
      <c r="D1709" s="1523">
        <v>1</v>
      </c>
      <c r="E1709" s="1523">
        <v>1</v>
      </c>
      <c r="F1709" s="1524">
        <v>2</v>
      </c>
      <c r="G1709" s="1537" t="s">
        <v>5667</v>
      </c>
      <c r="H1709" s="1521">
        <v>1</v>
      </c>
      <c r="I1709" s="1521">
        <v>0</v>
      </c>
      <c r="J1709" s="1538">
        <v>1</v>
      </c>
      <c r="K1709" s="1525"/>
      <c r="L1709" s="1519">
        <v>13151070310</v>
      </c>
      <c r="M1709" s="1520">
        <v>1</v>
      </c>
      <c r="N1709" s="1520">
        <v>1</v>
      </c>
      <c r="O1709" s="1521">
        <v>2</v>
      </c>
    </row>
    <row r="1710" spans="3:15" ht="13.5">
      <c r="C1710" s="1526" t="s">
        <v>5668</v>
      </c>
      <c r="D1710" s="1523">
        <v>0</v>
      </c>
      <c r="E1710" s="1523">
        <v>0</v>
      </c>
      <c r="F1710" s="1524">
        <v>0</v>
      </c>
      <c r="G1710" s="1537" t="s">
        <v>5668</v>
      </c>
      <c r="H1710" s="1521">
        <v>0</v>
      </c>
      <c r="I1710" s="1521" t="s">
        <v>4096</v>
      </c>
      <c r="J1710" s="1538">
        <v>0</v>
      </c>
      <c r="K1710" s="1525"/>
      <c r="L1710" s="1519">
        <v>13151070311</v>
      </c>
      <c r="M1710" s="1520">
        <v>0</v>
      </c>
      <c r="N1710" s="1520">
        <v>0</v>
      </c>
      <c r="O1710" s="1521">
        <v>0</v>
      </c>
    </row>
    <row r="1711" spans="3:15" ht="13.5">
      <c r="C1711" s="1526" t="s">
        <v>5669</v>
      </c>
      <c r="D1711" s="1523">
        <v>1</v>
      </c>
      <c r="E1711" s="1523">
        <v>1</v>
      </c>
      <c r="F1711" s="1524">
        <v>2</v>
      </c>
      <c r="G1711" s="1537" t="s">
        <v>5669</v>
      </c>
      <c r="H1711" s="1521">
        <v>1</v>
      </c>
      <c r="I1711" s="1521">
        <v>1</v>
      </c>
      <c r="J1711" s="1538">
        <v>2</v>
      </c>
      <c r="K1711" s="1525"/>
      <c r="L1711" s="1519">
        <v>13151070402</v>
      </c>
      <c r="M1711" s="1520">
        <v>1</v>
      </c>
      <c r="N1711" s="1520">
        <v>1</v>
      </c>
      <c r="O1711" s="1521">
        <v>2</v>
      </c>
    </row>
    <row r="1712" spans="3:15" ht="13.5">
      <c r="C1712" s="1526" t="s">
        <v>5670</v>
      </c>
      <c r="D1712" s="1523">
        <v>0</v>
      </c>
      <c r="E1712" s="1523">
        <v>1</v>
      </c>
      <c r="F1712" s="1524">
        <v>1</v>
      </c>
      <c r="G1712" s="1537" t="s">
        <v>5670</v>
      </c>
      <c r="H1712" s="1521">
        <v>0</v>
      </c>
      <c r="I1712" s="1521">
        <v>0</v>
      </c>
      <c r="J1712" s="1538">
        <v>0</v>
      </c>
      <c r="K1712" s="1525"/>
      <c r="L1712" s="1519">
        <v>13151070403</v>
      </c>
      <c r="M1712" s="1520">
        <v>0</v>
      </c>
      <c r="N1712" s="1520">
        <v>1</v>
      </c>
      <c r="O1712" s="1521">
        <v>1</v>
      </c>
    </row>
    <row r="1713" spans="3:15" ht="13.5">
      <c r="C1713" s="1526" t="s">
        <v>5671</v>
      </c>
      <c r="D1713" s="1523">
        <v>1</v>
      </c>
      <c r="E1713" s="1523">
        <v>1</v>
      </c>
      <c r="F1713" s="1524">
        <v>2</v>
      </c>
      <c r="G1713" s="1537" t="s">
        <v>5671</v>
      </c>
      <c r="H1713" s="1521">
        <v>1</v>
      </c>
      <c r="I1713" s="1521">
        <v>1</v>
      </c>
      <c r="J1713" s="1538">
        <v>2</v>
      </c>
      <c r="K1713" s="1525"/>
      <c r="L1713" s="1519">
        <v>13151070404</v>
      </c>
      <c r="M1713" s="1520">
        <v>1</v>
      </c>
      <c r="N1713" s="1520">
        <v>1</v>
      </c>
      <c r="O1713" s="1521">
        <v>2</v>
      </c>
    </row>
    <row r="1714" spans="3:15" ht="13.5">
      <c r="C1714" s="1526" t="s">
        <v>5672</v>
      </c>
      <c r="D1714" s="1523">
        <v>0</v>
      </c>
      <c r="E1714" s="1523">
        <v>0</v>
      </c>
      <c r="F1714" s="1524">
        <v>0</v>
      </c>
      <c r="G1714" s="1537" t="s">
        <v>5672</v>
      </c>
      <c r="H1714" s="1521">
        <v>1</v>
      </c>
      <c r="I1714" s="1521">
        <v>0</v>
      </c>
      <c r="J1714" s="1538">
        <v>1</v>
      </c>
      <c r="K1714" s="1525"/>
      <c r="L1714" s="1519">
        <v>13151070501</v>
      </c>
      <c r="M1714" s="1520">
        <v>1</v>
      </c>
      <c r="N1714" s="1520">
        <v>0</v>
      </c>
      <c r="O1714" s="1521">
        <v>1</v>
      </c>
    </row>
    <row r="1715" spans="3:15" ht="13.5">
      <c r="C1715" s="1526" t="s">
        <v>5673</v>
      </c>
      <c r="D1715" s="1523">
        <v>1</v>
      </c>
      <c r="E1715" s="1523">
        <v>1</v>
      </c>
      <c r="F1715" s="1524">
        <v>2</v>
      </c>
      <c r="G1715" s="1537" t="s">
        <v>5673</v>
      </c>
      <c r="H1715" s="1521">
        <v>1</v>
      </c>
      <c r="I1715" s="1521">
        <v>1</v>
      </c>
      <c r="J1715" s="1538">
        <v>2</v>
      </c>
      <c r="K1715" s="1525"/>
      <c r="L1715" s="1519">
        <v>13151070502</v>
      </c>
      <c r="M1715" s="1520">
        <v>1</v>
      </c>
      <c r="N1715" s="1520">
        <v>1</v>
      </c>
      <c r="O1715" s="1521">
        <v>2</v>
      </c>
    </row>
    <row r="1716" spans="3:15" ht="13.5">
      <c r="C1716" s="1526" t="s">
        <v>5674</v>
      </c>
      <c r="D1716" s="1523">
        <v>0</v>
      </c>
      <c r="E1716" s="1523">
        <v>0</v>
      </c>
      <c r="F1716" s="1524">
        <v>0</v>
      </c>
      <c r="G1716" s="1537" t="s">
        <v>5674</v>
      </c>
      <c r="H1716" s="1521">
        <v>0</v>
      </c>
      <c r="I1716" s="1521">
        <v>1</v>
      </c>
      <c r="J1716" s="1538">
        <v>0</v>
      </c>
      <c r="K1716" s="1525"/>
      <c r="L1716" s="1519">
        <v>13153020105</v>
      </c>
      <c r="M1716" s="1520">
        <v>0</v>
      </c>
      <c r="N1716" s="1520">
        <v>1</v>
      </c>
      <c r="O1716" s="1521">
        <v>0</v>
      </c>
    </row>
    <row r="1717" spans="3:15" ht="13.5">
      <c r="C1717" s="1526" t="s">
        <v>5675</v>
      </c>
      <c r="D1717" s="1523">
        <v>0</v>
      </c>
      <c r="E1717" s="1523">
        <v>1</v>
      </c>
      <c r="F1717" s="1524">
        <v>1</v>
      </c>
      <c r="G1717" s="1537" t="s">
        <v>5675</v>
      </c>
      <c r="H1717" s="1521">
        <v>0</v>
      </c>
      <c r="I1717" s="1521">
        <v>0</v>
      </c>
      <c r="J1717" s="1538">
        <v>0</v>
      </c>
      <c r="K1717" s="1525"/>
      <c r="L1717" s="1519">
        <v>13153020106</v>
      </c>
      <c r="M1717" s="1520">
        <v>0</v>
      </c>
      <c r="N1717" s="1520">
        <v>1</v>
      </c>
      <c r="O1717" s="1521">
        <v>1</v>
      </c>
    </row>
    <row r="1718" spans="3:15" ht="13.5">
      <c r="C1718" s="1526" t="s">
        <v>5676</v>
      </c>
      <c r="D1718" s="1523">
        <v>0</v>
      </c>
      <c r="E1718" s="1523">
        <v>1</v>
      </c>
      <c r="F1718" s="1524">
        <v>1</v>
      </c>
      <c r="G1718" s="1537" t="s">
        <v>5676</v>
      </c>
      <c r="H1718" s="1521">
        <v>0</v>
      </c>
      <c r="I1718" s="1521">
        <v>1</v>
      </c>
      <c r="J1718" s="1538">
        <v>1</v>
      </c>
      <c r="K1718" s="1525"/>
      <c r="L1718" s="1519">
        <v>13153020108</v>
      </c>
      <c r="M1718" s="1520">
        <v>0</v>
      </c>
      <c r="N1718" s="1520">
        <v>1</v>
      </c>
      <c r="O1718" s="1521">
        <v>1</v>
      </c>
    </row>
    <row r="1719" spans="3:15" ht="13.5">
      <c r="C1719" s="1526" t="s">
        <v>5677</v>
      </c>
      <c r="D1719" s="1523">
        <v>1</v>
      </c>
      <c r="E1719" s="1523">
        <v>1</v>
      </c>
      <c r="F1719" s="1524">
        <v>2</v>
      </c>
      <c r="G1719" s="1537" t="s">
        <v>5677</v>
      </c>
      <c r="H1719" s="1521">
        <v>1</v>
      </c>
      <c r="I1719" s="1521">
        <v>1</v>
      </c>
      <c r="J1719" s="1538">
        <v>2</v>
      </c>
      <c r="K1719" s="1525"/>
      <c r="L1719" s="1519">
        <v>13153020109</v>
      </c>
      <c r="M1719" s="1520">
        <v>1</v>
      </c>
      <c r="N1719" s="1520">
        <v>1</v>
      </c>
      <c r="O1719" s="1521">
        <v>2</v>
      </c>
    </row>
    <row r="1720" spans="3:15" ht="13.5">
      <c r="C1720" s="1526" t="s">
        <v>5678</v>
      </c>
      <c r="D1720" s="1523">
        <v>0</v>
      </c>
      <c r="E1720" s="1523">
        <v>0</v>
      </c>
      <c r="F1720" s="1524">
        <v>0</v>
      </c>
      <c r="G1720" s="1537" t="s">
        <v>5678</v>
      </c>
      <c r="H1720" s="1521">
        <v>0</v>
      </c>
      <c r="I1720" s="1521">
        <v>0</v>
      </c>
      <c r="J1720" s="1538">
        <v>0</v>
      </c>
      <c r="K1720" s="1525"/>
      <c r="L1720" s="1519">
        <v>13153020200</v>
      </c>
      <c r="M1720" s="1520">
        <v>0</v>
      </c>
      <c r="N1720" s="1520">
        <v>0</v>
      </c>
      <c r="O1720" s="1521">
        <v>0</v>
      </c>
    </row>
    <row r="1721" spans="3:15" ht="13.5">
      <c r="C1721" s="1526" t="s">
        <v>5679</v>
      </c>
      <c r="D1721" s="1523">
        <v>0</v>
      </c>
      <c r="E1721" s="1523">
        <v>0</v>
      </c>
      <c r="F1721" s="1524">
        <v>0</v>
      </c>
      <c r="G1721" s="1537" t="s">
        <v>5679</v>
      </c>
      <c r="H1721" s="1521">
        <v>0</v>
      </c>
      <c r="I1721" s="1521">
        <v>0</v>
      </c>
      <c r="J1721" s="1538">
        <v>0</v>
      </c>
      <c r="K1721" s="1525"/>
      <c r="L1721" s="1519">
        <v>13153020300</v>
      </c>
      <c r="M1721" s="1520">
        <v>0</v>
      </c>
      <c r="N1721" s="1520">
        <v>0</v>
      </c>
      <c r="O1721" s="1521">
        <v>0</v>
      </c>
    </row>
    <row r="1722" spans="3:15" ht="13.5">
      <c r="C1722" s="1526" t="s">
        <v>5680</v>
      </c>
      <c r="D1722" s="1523">
        <v>0</v>
      </c>
      <c r="E1722" s="1523">
        <v>0</v>
      </c>
      <c r="F1722" s="1524">
        <v>0</v>
      </c>
      <c r="G1722" s="1537" t="s">
        <v>5680</v>
      </c>
      <c r="H1722" s="1521">
        <v>0</v>
      </c>
      <c r="I1722" s="1521">
        <v>0</v>
      </c>
      <c r="J1722" s="1538">
        <v>0</v>
      </c>
      <c r="K1722" s="1525"/>
      <c r="L1722" s="1519">
        <v>13153020400</v>
      </c>
      <c r="M1722" s="1520">
        <v>0</v>
      </c>
      <c r="N1722" s="1520">
        <v>0</v>
      </c>
      <c r="O1722" s="1521">
        <v>0</v>
      </c>
    </row>
    <row r="1723" spans="3:15" ht="13.5">
      <c r="C1723" s="1526" t="s">
        <v>5681</v>
      </c>
      <c r="D1723" s="1523">
        <v>0</v>
      </c>
      <c r="E1723" s="1523">
        <v>1</v>
      </c>
      <c r="F1723" s="1524">
        <v>1</v>
      </c>
      <c r="G1723" s="1537" t="s">
        <v>5681</v>
      </c>
      <c r="H1723" s="1521">
        <v>0</v>
      </c>
      <c r="I1723" s="1521" t="s">
        <v>4096</v>
      </c>
      <c r="J1723" s="1538">
        <v>0</v>
      </c>
      <c r="K1723" s="1525"/>
      <c r="L1723" s="1519">
        <v>13153020600</v>
      </c>
      <c r="M1723" s="1520">
        <v>0</v>
      </c>
      <c r="N1723" s="1520">
        <v>1</v>
      </c>
      <c r="O1723" s="1521">
        <v>1</v>
      </c>
    </row>
    <row r="1724" spans="3:15" ht="13.5">
      <c r="C1724" s="1526" t="s">
        <v>5682</v>
      </c>
      <c r="D1724" s="1523">
        <v>0</v>
      </c>
      <c r="E1724" s="1523">
        <v>0</v>
      </c>
      <c r="F1724" s="1524">
        <v>0</v>
      </c>
      <c r="G1724" s="1537" t="s">
        <v>5682</v>
      </c>
      <c r="H1724" s="1521">
        <v>0</v>
      </c>
      <c r="I1724" s="1521">
        <v>0</v>
      </c>
      <c r="J1724" s="1538">
        <v>0</v>
      </c>
      <c r="K1724" s="1525"/>
      <c r="L1724" s="1519">
        <v>13153020700</v>
      </c>
      <c r="M1724" s="1520">
        <v>0</v>
      </c>
      <c r="N1724" s="1520">
        <v>0</v>
      </c>
      <c r="O1724" s="1521">
        <v>0</v>
      </c>
    </row>
    <row r="1725" spans="3:15" ht="13.5">
      <c r="C1725" s="1526" t="s">
        <v>5683</v>
      </c>
      <c r="D1725" s="1523">
        <v>0</v>
      </c>
      <c r="E1725" s="1523">
        <v>0</v>
      </c>
      <c r="F1725" s="1524">
        <v>0</v>
      </c>
      <c r="G1725" s="1537" t="s">
        <v>5683</v>
      </c>
      <c r="H1725" s="1521">
        <v>1</v>
      </c>
      <c r="I1725" s="1521">
        <v>0</v>
      </c>
      <c r="J1725" s="1538">
        <v>1</v>
      </c>
      <c r="K1725" s="1525"/>
      <c r="L1725" s="1519">
        <v>13153020800</v>
      </c>
      <c r="M1725" s="1520">
        <v>1</v>
      </c>
      <c r="N1725" s="1520">
        <v>0</v>
      </c>
      <c r="O1725" s="1521">
        <v>1</v>
      </c>
    </row>
    <row r="1726" spans="3:15" ht="13.5">
      <c r="C1726" s="1526" t="s">
        <v>5684</v>
      </c>
      <c r="D1726" s="1523">
        <v>0</v>
      </c>
      <c r="E1726" s="1523">
        <v>0</v>
      </c>
      <c r="F1726" s="1524">
        <v>0</v>
      </c>
      <c r="G1726" s="1537" t="s">
        <v>5684</v>
      </c>
      <c r="H1726" s="1521">
        <v>0</v>
      </c>
      <c r="I1726" s="1521">
        <v>0</v>
      </c>
      <c r="J1726" s="1538">
        <v>0</v>
      </c>
      <c r="K1726" s="1525"/>
      <c r="L1726" s="1519">
        <v>13153020900</v>
      </c>
      <c r="M1726" s="1520">
        <v>0</v>
      </c>
      <c r="N1726" s="1520">
        <v>0</v>
      </c>
      <c r="O1726" s="1521">
        <v>0</v>
      </c>
    </row>
    <row r="1727" spans="3:15" ht="13.5">
      <c r="C1727" s="1526" t="s">
        <v>5685</v>
      </c>
      <c r="D1727" s="1523">
        <v>0</v>
      </c>
      <c r="E1727" s="1523">
        <v>0</v>
      </c>
      <c r="F1727" s="1524">
        <v>0</v>
      </c>
      <c r="G1727" s="1537" t="s">
        <v>5685</v>
      </c>
      <c r="H1727" s="1521">
        <v>0</v>
      </c>
      <c r="I1727" s="1521">
        <v>1</v>
      </c>
      <c r="J1727" s="1538">
        <v>1</v>
      </c>
      <c r="K1727" s="1525"/>
      <c r="L1727" s="1519">
        <v>13153021000</v>
      </c>
      <c r="M1727" s="1520">
        <v>0</v>
      </c>
      <c r="N1727" s="1520">
        <v>1</v>
      </c>
      <c r="O1727" s="1521">
        <v>1</v>
      </c>
    </row>
    <row r="1728" spans="3:15" ht="13.5">
      <c r="C1728" s="1526" t="s">
        <v>5686</v>
      </c>
      <c r="D1728" s="1523">
        <v>1</v>
      </c>
      <c r="E1728" s="1523">
        <v>1</v>
      </c>
      <c r="F1728" s="1524">
        <v>2</v>
      </c>
      <c r="G1728" s="1537" t="s">
        <v>5686</v>
      </c>
      <c r="H1728" s="1521">
        <v>1</v>
      </c>
      <c r="I1728" s="1521">
        <v>1</v>
      </c>
      <c r="J1728" s="1538">
        <v>2</v>
      </c>
      <c r="K1728" s="1525"/>
      <c r="L1728" s="1519">
        <v>13153021103</v>
      </c>
      <c r="M1728" s="1520">
        <v>1</v>
      </c>
      <c r="N1728" s="1520">
        <v>1</v>
      </c>
      <c r="O1728" s="1521">
        <v>2</v>
      </c>
    </row>
    <row r="1729" spans="3:15" ht="13.5">
      <c r="C1729" s="1526" t="s">
        <v>5687</v>
      </c>
      <c r="D1729" s="1523">
        <v>0</v>
      </c>
      <c r="E1729" s="1523">
        <v>0</v>
      </c>
      <c r="F1729" s="1524">
        <v>0</v>
      </c>
      <c r="G1729" s="1537" t="s">
        <v>5687</v>
      </c>
      <c r="H1729" s="1521">
        <v>0</v>
      </c>
      <c r="I1729" s="1521">
        <v>0</v>
      </c>
      <c r="J1729" s="1538">
        <v>0</v>
      </c>
      <c r="K1729" s="1525"/>
      <c r="L1729" s="1519">
        <v>13153021104</v>
      </c>
      <c r="M1729" s="1520">
        <v>0</v>
      </c>
      <c r="N1729" s="1520">
        <v>0</v>
      </c>
      <c r="O1729" s="1521">
        <v>0</v>
      </c>
    </row>
    <row r="1730" spans="3:15" ht="13.5">
      <c r="C1730" s="1526" t="s">
        <v>5688</v>
      </c>
      <c r="D1730" s="1523">
        <v>0</v>
      </c>
      <c r="E1730" s="1523">
        <v>1</v>
      </c>
      <c r="F1730" s="1524">
        <v>1</v>
      </c>
      <c r="G1730" s="1537" t="s">
        <v>5688</v>
      </c>
      <c r="H1730" s="1521">
        <v>1</v>
      </c>
      <c r="I1730" s="1521">
        <v>0</v>
      </c>
      <c r="J1730" s="1538">
        <v>1</v>
      </c>
      <c r="K1730" s="1525"/>
      <c r="L1730" s="1519">
        <v>13153021105</v>
      </c>
      <c r="M1730" s="1520">
        <v>1</v>
      </c>
      <c r="N1730" s="1520">
        <v>1</v>
      </c>
      <c r="O1730" s="1521">
        <v>1</v>
      </c>
    </row>
    <row r="1731" spans="3:15" ht="13.5">
      <c r="C1731" s="1526" t="s">
        <v>5689</v>
      </c>
      <c r="D1731" s="1523">
        <v>1</v>
      </c>
      <c r="E1731" s="1523">
        <v>1</v>
      </c>
      <c r="F1731" s="1524">
        <v>2</v>
      </c>
      <c r="G1731" s="1537" t="s">
        <v>5689</v>
      </c>
      <c r="H1731" s="1521">
        <v>0</v>
      </c>
      <c r="I1731" s="1521">
        <v>1</v>
      </c>
      <c r="J1731" s="1538">
        <v>1</v>
      </c>
      <c r="K1731" s="1525"/>
      <c r="L1731" s="1519">
        <v>13153021107</v>
      </c>
      <c r="M1731" s="1520">
        <v>1</v>
      </c>
      <c r="N1731" s="1520">
        <v>1</v>
      </c>
      <c r="O1731" s="1521">
        <v>2</v>
      </c>
    </row>
    <row r="1732" spans="3:15" ht="13.5">
      <c r="C1732" s="1526" t="s">
        <v>5690</v>
      </c>
      <c r="D1732" s="1523">
        <v>1</v>
      </c>
      <c r="E1732" s="1523">
        <v>1</v>
      </c>
      <c r="F1732" s="1524">
        <v>2</v>
      </c>
      <c r="G1732" s="1537" t="s">
        <v>5690</v>
      </c>
      <c r="H1732" s="1521">
        <v>1</v>
      </c>
      <c r="I1732" s="1521">
        <v>1</v>
      </c>
      <c r="J1732" s="1538">
        <v>2</v>
      </c>
      <c r="K1732" s="1525"/>
      <c r="L1732" s="1519">
        <v>13153021108</v>
      </c>
      <c r="M1732" s="1520">
        <v>1</v>
      </c>
      <c r="N1732" s="1520">
        <v>1</v>
      </c>
      <c r="O1732" s="1521">
        <v>2</v>
      </c>
    </row>
    <row r="1733" spans="3:15" ht="13.5">
      <c r="C1733" s="1526" t="s">
        <v>5691</v>
      </c>
      <c r="D1733" s="1523">
        <v>1</v>
      </c>
      <c r="E1733" s="1523">
        <v>1</v>
      </c>
      <c r="F1733" s="1524">
        <v>2</v>
      </c>
      <c r="G1733" s="1537" t="s">
        <v>5691</v>
      </c>
      <c r="H1733" s="1521">
        <v>1</v>
      </c>
      <c r="I1733" s="1521">
        <v>1</v>
      </c>
      <c r="J1733" s="1538">
        <v>2</v>
      </c>
      <c r="K1733" s="1525"/>
      <c r="L1733" s="1519">
        <v>13153021113</v>
      </c>
      <c r="M1733" s="1520">
        <v>1</v>
      </c>
      <c r="N1733" s="1520">
        <v>1</v>
      </c>
      <c r="O1733" s="1521">
        <v>2</v>
      </c>
    </row>
    <row r="1734" spans="3:15" ht="13.5">
      <c r="C1734" s="1526" t="s">
        <v>5692</v>
      </c>
      <c r="D1734" s="1523">
        <v>1</v>
      </c>
      <c r="E1734" s="1523">
        <v>1</v>
      </c>
      <c r="F1734" s="1524">
        <v>2</v>
      </c>
      <c r="G1734" s="1537" t="s">
        <v>5692</v>
      </c>
      <c r="H1734" s="1521">
        <v>1</v>
      </c>
      <c r="I1734" s="1521">
        <v>1</v>
      </c>
      <c r="J1734" s="1538">
        <v>2</v>
      </c>
      <c r="K1734" s="1525"/>
      <c r="L1734" s="1519">
        <v>13153021201</v>
      </c>
      <c r="M1734" s="1520">
        <v>1</v>
      </c>
      <c r="N1734" s="1520">
        <v>1</v>
      </c>
      <c r="O1734" s="1521">
        <v>2</v>
      </c>
    </row>
    <row r="1735" spans="3:15" ht="13.5">
      <c r="C1735" s="1526" t="s">
        <v>5693</v>
      </c>
      <c r="D1735" s="1523">
        <v>0</v>
      </c>
      <c r="E1735" s="1523">
        <v>1</v>
      </c>
      <c r="F1735" s="1524">
        <v>1</v>
      </c>
      <c r="G1735" s="1537" t="s">
        <v>5693</v>
      </c>
      <c r="H1735" s="1521">
        <v>0</v>
      </c>
      <c r="I1735" s="1521">
        <v>1</v>
      </c>
      <c r="J1735" s="1538">
        <v>1</v>
      </c>
      <c r="K1735" s="1525"/>
      <c r="L1735" s="1519">
        <v>13153021202</v>
      </c>
      <c r="M1735" s="1520">
        <v>0</v>
      </c>
      <c r="N1735" s="1520">
        <v>1</v>
      </c>
      <c r="O1735" s="1521">
        <v>1</v>
      </c>
    </row>
    <row r="1736" spans="3:15" ht="13.5">
      <c r="C1736" s="1526" t="s">
        <v>5694</v>
      </c>
      <c r="D1736" s="1523">
        <v>0</v>
      </c>
      <c r="E1736" s="1523">
        <v>0</v>
      </c>
      <c r="F1736" s="1524">
        <v>0</v>
      </c>
      <c r="G1736" s="1537" t="s">
        <v>5694</v>
      </c>
      <c r="H1736" s="1521">
        <v>0</v>
      </c>
      <c r="I1736" s="1521">
        <v>0</v>
      </c>
      <c r="J1736" s="1538">
        <v>0</v>
      </c>
      <c r="K1736" s="1525"/>
      <c r="L1736" s="1519">
        <v>13153021300</v>
      </c>
      <c r="M1736" s="1520">
        <v>0</v>
      </c>
      <c r="N1736" s="1520">
        <v>0</v>
      </c>
      <c r="O1736" s="1521">
        <v>0</v>
      </c>
    </row>
    <row r="1737" spans="3:15" ht="13.5">
      <c r="C1737" s="1526" t="s">
        <v>5695</v>
      </c>
      <c r="D1737" s="1523">
        <v>0</v>
      </c>
      <c r="E1737" s="1523">
        <v>1</v>
      </c>
      <c r="F1737" s="1524">
        <v>1</v>
      </c>
      <c r="G1737" s="1537" t="s">
        <v>5695</v>
      </c>
      <c r="H1737" s="1521">
        <v>0</v>
      </c>
      <c r="I1737" s="1521">
        <v>1</v>
      </c>
      <c r="J1737" s="1538">
        <v>1</v>
      </c>
      <c r="K1737" s="1525"/>
      <c r="L1737" s="1519">
        <v>13153021400</v>
      </c>
      <c r="M1737" s="1520">
        <v>0</v>
      </c>
      <c r="N1737" s="1520">
        <v>1</v>
      </c>
      <c r="O1737" s="1521">
        <v>1</v>
      </c>
    </row>
    <row r="1738" spans="3:15" ht="13.5">
      <c r="C1738" s="1526" t="s">
        <v>5696</v>
      </c>
      <c r="D1738" s="1523">
        <v>1</v>
      </c>
      <c r="E1738" s="1523">
        <v>1</v>
      </c>
      <c r="F1738" s="1524">
        <v>2</v>
      </c>
      <c r="G1738" s="1537" t="s">
        <v>5696</v>
      </c>
      <c r="H1738" s="1521">
        <v>1</v>
      </c>
      <c r="I1738" s="1521">
        <v>1</v>
      </c>
      <c r="J1738" s="1538">
        <v>2</v>
      </c>
      <c r="K1738" s="1525"/>
      <c r="L1738" s="1519">
        <v>13153021500</v>
      </c>
      <c r="M1738" s="1520">
        <v>1</v>
      </c>
      <c r="N1738" s="1520">
        <v>1</v>
      </c>
      <c r="O1738" s="1521">
        <v>2</v>
      </c>
    </row>
    <row r="1739" spans="3:15" ht="13.5">
      <c r="C1739" s="1526" t="s">
        <v>5697</v>
      </c>
      <c r="D1739" s="1523">
        <v>0</v>
      </c>
      <c r="E1739" s="1523">
        <v>0</v>
      </c>
      <c r="F1739" s="1524">
        <v>0</v>
      </c>
      <c r="G1739" s="1537" t="s">
        <v>5697</v>
      </c>
      <c r="H1739" s="1521">
        <v>0</v>
      </c>
      <c r="I1739" s="1521">
        <v>0</v>
      </c>
      <c r="J1739" s="1538">
        <v>0</v>
      </c>
      <c r="K1739" s="1525"/>
      <c r="L1739" s="1519">
        <v>13155950100</v>
      </c>
      <c r="M1739" s="1520">
        <v>0</v>
      </c>
      <c r="N1739" s="1520">
        <v>0</v>
      </c>
      <c r="O1739" s="1521">
        <v>0</v>
      </c>
    </row>
    <row r="1740" spans="3:15" ht="13.5">
      <c r="C1740" s="1526" t="s">
        <v>5698</v>
      </c>
      <c r="D1740" s="1523">
        <v>0</v>
      </c>
      <c r="E1740" s="1523">
        <v>0</v>
      </c>
      <c r="F1740" s="1524">
        <v>0</v>
      </c>
      <c r="G1740" s="1537" t="s">
        <v>5698</v>
      </c>
      <c r="H1740" s="1521">
        <v>0</v>
      </c>
      <c r="I1740" s="1521">
        <v>0</v>
      </c>
      <c r="J1740" s="1538">
        <v>0</v>
      </c>
      <c r="K1740" s="1525"/>
      <c r="L1740" s="1519">
        <v>13155950200</v>
      </c>
      <c r="M1740" s="1520">
        <v>0</v>
      </c>
      <c r="N1740" s="1520">
        <v>0</v>
      </c>
      <c r="O1740" s="1521">
        <v>0</v>
      </c>
    </row>
    <row r="1741" spans="3:15" ht="13.5">
      <c r="C1741" s="1526" t="s">
        <v>5699</v>
      </c>
      <c r="D1741" s="1523">
        <v>1</v>
      </c>
      <c r="E1741" s="1523">
        <v>1</v>
      </c>
      <c r="F1741" s="1524">
        <v>2</v>
      </c>
      <c r="G1741" s="1537" t="s">
        <v>5699</v>
      </c>
      <c r="H1741" s="1521">
        <v>1</v>
      </c>
      <c r="I1741" s="1521">
        <v>1</v>
      </c>
      <c r="J1741" s="1538">
        <v>1</v>
      </c>
      <c r="K1741" s="1525"/>
      <c r="L1741" s="1519">
        <v>13157010101</v>
      </c>
      <c r="M1741" s="1520">
        <v>1</v>
      </c>
      <c r="N1741" s="1520">
        <v>1</v>
      </c>
      <c r="O1741" s="1521">
        <v>2</v>
      </c>
    </row>
    <row r="1742" spans="3:15" ht="13.5">
      <c r="C1742" s="1526" t="s">
        <v>5700</v>
      </c>
      <c r="D1742" s="1523">
        <v>1</v>
      </c>
      <c r="E1742" s="1523">
        <v>1</v>
      </c>
      <c r="F1742" s="1524">
        <v>2</v>
      </c>
      <c r="G1742" s="1537" t="s">
        <v>5700</v>
      </c>
      <c r="H1742" s="1521">
        <v>1</v>
      </c>
      <c r="I1742" s="1521">
        <v>1</v>
      </c>
      <c r="J1742" s="1538">
        <v>2</v>
      </c>
      <c r="K1742" s="1525"/>
      <c r="L1742" s="1519">
        <v>13157010102</v>
      </c>
      <c r="M1742" s="1520">
        <v>1</v>
      </c>
      <c r="N1742" s="1520">
        <v>1</v>
      </c>
      <c r="O1742" s="1521">
        <v>2</v>
      </c>
    </row>
    <row r="1743" spans="3:15" ht="13.5">
      <c r="C1743" s="1526" t="s">
        <v>5701</v>
      </c>
      <c r="D1743" s="1523">
        <v>1</v>
      </c>
      <c r="E1743" s="1523">
        <v>1</v>
      </c>
      <c r="F1743" s="1524">
        <v>2</v>
      </c>
      <c r="G1743" s="1537" t="s">
        <v>5701</v>
      </c>
      <c r="H1743" s="1521">
        <v>0</v>
      </c>
      <c r="I1743" s="1521">
        <v>1</v>
      </c>
      <c r="J1743" s="1538">
        <v>1</v>
      </c>
      <c r="K1743" s="1525"/>
      <c r="L1743" s="1519">
        <v>13157010103</v>
      </c>
      <c r="M1743" s="1520">
        <v>1</v>
      </c>
      <c r="N1743" s="1520">
        <v>1</v>
      </c>
      <c r="O1743" s="1521">
        <v>2</v>
      </c>
    </row>
    <row r="1744" spans="3:15" ht="13.5">
      <c r="C1744" s="1526" t="s">
        <v>5702</v>
      </c>
      <c r="D1744" s="1523">
        <v>0</v>
      </c>
      <c r="E1744" s="1523">
        <v>0</v>
      </c>
      <c r="F1744" s="1524">
        <v>0</v>
      </c>
      <c r="G1744" s="1537" t="s">
        <v>5702</v>
      </c>
      <c r="H1744" s="1521">
        <v>0</v>
      </c>
      <c r="I1744" s="1521">
        <v>0</v>
      </c>
      <c r="J1744" s="1538">
        <v>0</v>
      </c>
      <c r="K1744" s="1525"/>
      <c r="L1744" s="1519">
        <v>13157010200</v>
      </c>
      <c r="M1744" s="1520">
        <v>0</v>
      </c>
      <c r="N1744" s="1520">
        <v>0</v>
      </c>
      <c r="O1744" s="1521">
        <v>0</v>
      </c>
    </row>
    <row r="1745" spans="3:15" ht="13.5">
      <c r="C1745" s="1526" t="s">
        <v>5703</v>
      </c>
      <c r="D1745" s="1523">
        <v>0</v>
      </c>
      <c r="E1745" s="1523">
        <v>0</v>
      </c>
      <c r="F1745" s="1524">
        <v>0</v>
      </c>
      <c r="G1745" s="1537" t="s">
        <v>5703</v>
      </c>
      <c r="H1745" s="1521">
        <v>0</v>
      </c>
      <c r="I1745" s="1521">
        <v>0</v>
      </c>
      <c r="J1745" s="1538">
        <v>0</v>
      </c>
      <c r="K1745" s="1525"/>
      <c r="L1745" s="1519">
        <v>13157010300</v>
      </c>
      <c r="M1745" s="1520">
        <v>0</v>
      </c>
      <c r="N1745" s="1520">
        <v>0</v>
      </c>
      <c r="O1745" s="1521">
        <v>0</v>
      </c>
    </row>
    <row r="1746" spans="3:15" ht="13.5">
      <c r="C1746" s="1526" t="s">
        <v>5704</v>
      </c>
      <c r="D1746" s="1523">
        <v>0</v>
      </c>
      <c r="E1746" s="1523">
        <v>0</v>
      </c>
      <c r="F1746" s="1524">
        <v>0</v>
      </c>
      <c r="G1746" s="1537" t="s">
        <v>5704</v>
      </c>
      <c r="H1746" s="1521">
        <v>0</v>
      </c>
      <c r="I1746" s="1521">
        <v>0</v>
      </c>
      <c r="J1746" s="1538">
        <v>0</v>
      </c>
      <c r="K1746" s="1525"/>
      <c r="L1746" s="1519">
        <v>13157010400</v>
      </c>
      <c r="M1746" s="1520">
        <v>0</v>
      </c>
      <c r="N1746" s="1520">
        <v>0</v>
      </c>
      <c r="O1746" s="1521">
        <v>0</v>
      </c>
    </row>
    <row r="1747" spans="3:15" ht="13.5">
      <c r="C1747" s="1526" t="s">
        <v>5705</v>
      </c>
      <c r="D1747" s="1523">
        <v>0</v>
      </c>
      <c r="E1747" s="1523">
        <v>0</v>
      </c>
      <c r="F1747" s="1524">
        <v>0</v>
      </c>
      <c r="G1747" s="1537" t="s">
        <v>5705</v>
      </c>
      <c r="H1747" s="1521">
        <v>0</v>
      </c>
      <c r="I1747" s="1521">
        <v>0</v>
      </c>
      <c r="J1747" s="1538">
        <v>0</v>
      </c>
      <c r="K1747" s="1525"/>
      <c r="L1747" s="1519">
        <v>13157010500</v>
      </c>
      <c r="M1747" s="1520">
        <v>0</v>
      </c>
      <c r="N1747" s="1520">
        <v>0</v>
      </c>
      <c r="O1747" s="1521">
        <v>0</v>
      </c>
    </row>
    <row r="1748" spans="3:15" ht="13.5">
      <c r="C1748" s="1526" t="s">
        <v>5706</v>
      </c>
      <c r="D1748" s="1523">
        <v>0</v>
      </c>
      <c r="E1748" s="1523">
        <v>0</v>
      </c>
      <c r="F1748" s="1524">
        <v>0</v>
      </c>
      <c r="G1748" s="1537" t="s">
        <v>5706</v>
      </c>
      <c r="H1748" s="1521">
        <v>1</v>
      </c>
      <c r="I1748" s="1521">
        <v>0</v>
      </c>
      <c r="J1748" s="1538">
        <v>1</v>
      </c>
      <c r="K1748" s="1525"/>
      <c r="L1748" s="1519">
        <v>13157010600</v>
      </c>
      <c r="M1748" s="1520">
        <v>1</v>
      </c>
      <c r="N1748" s="1520">
        <v>0</v>
      </c>
      <c r="O1748" s="1521">
        <v>1</v>
      </c>
    </row>
    <row r="1749" spans="3:15" ht="13.5">
      <c r="C1749" s="1526" t="s">
        <v>5707</v>
      </c>
      <c r="D1749" s="1523">
        <v>0</v>
      </c>
      <c r="E1749" s="1523">
        <v>1</v>
      </c>
      <c r="F1749" s="1524">
        <v>1</v>
      </c>
      <c r="G1749" s="1537" t="s">
        <v>5707</v>
      </c>
      <c r="H1749" s="1521">
        <v>1</v>
      </c>
      <c r="I1749" s="1521">
        <v>1</v>
      </c>
      <c r="J1749" s="1538">
        <v>1</v>
      </c>
      <c r="K1749" s="1525"/>
      <c r="L1749" s="1519">
        <v>13157010701</v>
      </c>
      <c r="M1749" s="1520">
        <v>1</v>
      </c>
      <c r="N1749" s="1520">
        <v>1</v>
      </c>
      <c r="O1749" s="1521">
        <v>1</v>
      </c>
    </row>
    <row r="1750" spans="3:15" ht="13.5">
      <c r="C1750" s="1526" t="s">
        <v>5708</v>
      </c>
      <c r="D1750" s="1523">
        <v>1</v>
      </c>
      <c r="E1750" s="1523">
        <v>1</v>
      </c>
      <c r="F1750" s="1524">
        <v>2</v>
      </c>
      <c r="G1750" s="1537" t="s">
        <v>5708</v>
      </c>
      <c r="H1750" s="1521">
        <v>1</v>
      </c>
      <c r="I1750" s="1521">
        <v>1</v>
      </c>
      <c r="J1750" s="1538">
        <v>2</v>
      </c>
      <c r="K1750" s="1525"/>
      <c r="L1750" s="1519">
        <v>13157010702</v>
      </c>
      <c r="M1750" s="1520">
        <v>1</v>
      </c>
      <c r="N1750" s="1520">
        <v>1</v>
      </c>
      <c r="O1750" s="1521">
        <v>2</v>
      </c>
    </row>
    <row r="1751" spans="3:15" ht="13.5">
      <c r="C1751" s="1526" t="s">
        <v>5709</v>
      </c>
      <c r="D1751" s="1523">
        <v>1</v>
      </c>
      <c r="E1751" s="1523">
        <v>1</v>
      </c>
      <c r="F1751" s="1524">
        <v>2</v>
      </c>
      <c r="G1751" s="1537" t="s">
        <v>5709</v>
      </c>
      <c r="H1751" s="1521">
        <v>1</v>
      </c>
      <c r="I1751" s="1521">
        <v>1</v>
      </c>
      <c r="J1751" s="1538">
        <v>2</v>
      </c>
      <c r="K1751" s="1525"/>
      <c r="L1751" s="1519">
        <v>13157010703</v>
      </c>
      <c r="M1751" s="1520">
        <v>1</v>
      </c>
      <c r="N1751" s="1520">
        <v>1</v>
      </c>
      <c r="O1751" s="1521">
        <v>2</v>
      </c>
    </row>
    <row r="1752" spans="3:15" ht="13.5">
      <c r="C1752" s="1526" t="s">
        <v>5710</v>
      </c>
      <c r="D1752" s="1523">
        <v>0</v>
      </c>
      <c r="E1752" s="1523">
        <v>0</v>
      </c>
      <c r="F1752" s="1524">
        <v>0</v>
      </c>
      <c r="G1752" s="1537" t="s">
        <v>5710</v>
      </c>
      <c r="H1752" s="1521">
        <v>0</v>
      </c>
      <c r="I1752" s="1521">
        <v>0</v>
      </c>
      <c r="J1752" s="1538">
        <v>0</v>
      </c>
      <c r="K1752" s="1525"/>
      <c r="L1752" s="1519">
        <v>13159010100</v>
      </c>
      <c r="M1752" s="1520">
        <v>0</v>
      </c>
      <c r="N1752" s="1520">
        <v>0</v>
      </c>
      <c r="O1752" s="1521">
        <v>0</v>
      </c>
    </row>
    <row r="1753" spans="3:15" ht="13.5">
      <c r="C1753" s="1526" t="s">
        <v>5711</v>
      </c>
      <c r="D1753" s="1523">
        <v>1</v>
      </c>
      <c r="E1753" s="1523">
        <v>1</v>
      </c>
      <c r="F1753" s="1524">
        <v>2</v>
      </c>
      <c r="G1753" s="1537" t="s">
        <v>5711</v>
      </c>
      <c r="H1753" s="1521">
        <v>0</v>
      </c>
      <c r="I1753" s="1521">
        <v>0</v>
      </c>
      <c r="J1753" s="1538">
        <v>0</v>
      </c>
      <c r="K1753" s="1525"/>
      <c r="L1753" s="1519">
        <v>13159010200</v>
      </c>
      <c r="M1753" s="1520">
        <v>1</v>
      </c>
      <c r="N1753" s="1520">
        <v>1</v>
      </c>
      <c r="O1753" s="1521">
        <v>2</v>
      </c>
    </row>
    <row r="1754" spans="3:15" ht="13.5">
      <c r="C1754" s="1526" t="s">
        <v>5712</v>
      </c>
      <c r="D1754" s="1523">
        <v>0</v>
      </c>
      <c r="E1754" s="1523">
        <v>0</v>
      </c>
      <c r="F1754" s="1524">
        <v>0</v>
      </c>
      <c r="G1754" s="1537" t="s">
        <v>5712</v>
      </c>
      <c r="H1754" s="1521">
        <v>0</v>
      </c>
      <c r="I1754" s="1521">
        <v>0</v>
      </c>
      <c r="J1754" s="1538">
        <v>0</v>
      </c>
      <c r="K1754" s="1525"/>
      <c r="L1754" s="1519">
        <v>13159010500</v>
      </c>
      <c r="M1754" s="1520">
        <v>0</v>
      </c>
      <c r="N1754" s="1520">
        <v>0</v>
      </c>
      <c r="O1754" s="1521">
        <v>0</v>
      </c>
    </row>
    <row r="1755" spans="3:15" ht="13.5">
      <c r="C1755" s="1526" t="s">
        <v>5713</v>
      </c>
      <c r="D1755" s="1523">
        <v>0</v>
      </c>
      <c r="E1755" s="1523">
        <v>0</v>
      </c>
      <c r="F1755" s="1524">
        <v>0</v>
      </c>
      <c r="G1755" s="1537" t="s">
        <v>5713</v>
      </c>
      <c r="H1755" s="1521">
        <v>0</v>
      </c>
      <c r="I1755" s="1521">
        <v>0</v>
      </c>
      <c r="J1755" s="1538">
        <v>0</v>
      </c>
      <c r="K1755" s="1525"/>
      <c r="L1755" s="1519">
        <v>13161960100</v>
      </c>
      <c r="M1755" s="1520">
        <v>0</v>
      </c>
      <c r="N1755" s="1520">
        <v>0</v>
      </c>
      <c r="O1755" s="1521">
        <v>0</v>
      </c>
    </row>
    <row r="1756" spans="3:15" ht="13.5">
      <c r="C1756" s="1526" t="s">
        <v>5714</v>
      </c>
      <c r="D1756" s="1523">
        <v>0</v>
      </c>
      <c r="E1756" s="1523">
        <v>0</v>
      </c>
      <c r="F1756" s="1524">
        <v>0</v>
      </c>
      <c r="G1756" s="1537" t="s">
        <v>5714</v>
      </c>
      <c r="H1756" s="1521">
        <v>0</v>
      </c>
      <c r="I1756" s="1521">
        <v>0</v>
      </c>
      <c r="J1756" s="1538">
        <v>0</v>
      </c>
      <c r="K1756" s="1525"/>
      <c r="L1756" s="1519">
        <v>13161960200</v>
      </c>
      <c r="M1756" s="1520">
        <v>0</v>
      </c>
      <c r="N1756" s="1520">
        <v>0</v>
      </c>
      <c r="O1756" s="1521">
        <v>0</v>
      </c>
    </row>
    <row r="1757" spans="3:15" ht="13.5">
      <c r="C1757" s="1526" t="s">
        <v>5715</v>
      </c>
      <c r="D1757" s="1523">
        <v>0</v>
      </c>
      <c r="E1757" s="1523">
        <v>0</v>
      </c>
      <c r="F1757" s="1524">
        <v>0</v>
      </c>
      <c r="G1757" s="1537" t="s">
        <v>5715</v>
      </c>
      <c r="H1757" s="1521">
        <v>0</v>
      </c>
      <c r="I1757" s="1521">
        <v>0</v>
      </c>
      <c r="J1757" s="1538">
        <v>0</v>
      </c>
      <c r="K1757" s="1525"/>
      <c r="L1757" s="1519">
        <v>13161960300</v>
      </c>
      <c r="M1757" s="1520">
        <v>0</v>
      </c>
      <c r="N1757" s="1520">
        <v>0</v>
      </c>
      <c r="O1757" s="1521">
        <v>0</v>
      </c>
    </row>
    <row r="1758" spans="3:15" ht="13.5">
      <c r="C1758" s="1526" t="s">
        <v>5716</v>
      </c>
      <c r="D1758" s="1523">
        <v>0</v>
      </c>
      <c r="E1758" s="1523">
        <v>0</v>
      </c>
      <c r="F1758" s="1524">
        <v>0</v>
      </c>
      <c r="G1758" s="1537" t="s">
        <v>5716</v>
      </c>
      <c r="H1758" s="1521">
        <v>0</v>
      </c>
      <c r="I1758" s="1521">
        <v>0</v>
      </c>
      <c r="J1758" s="1538">
        <v>0</v>
      </c>
      <c r="K1758" s="1525"/>
      <c r="L1758" s="1519">
        <v>13163960100</v>
      </c>
      <c r="M1758" s="1520">
        <v>0</v>
      </c>
      <c r="N1758" s="1520">
        <v>0</v>
      </c>
      <c r="O1758" s="1521">
        <v>0</v>
      </c>
    </row>
    <row r="1759" spans="3:15" ht="13.5">
      <c r="C1759" s="1526" t="s">
        <v>5717</v>
      </c>
      <c r="D1759" s="1523">
        <v>0</v>
      </c>
      <c r="E1759" s="1523">
        <v>0</v>
      </c>
      <c r="F1759" s="1524">
        <v>0</v>
      </c>
      <c r="G1759" s="1537" t="s">
        <v>5717</v>
      </c>
      <c r="H1759" s="1521">
        <v>0</v>
      </c>
      <c r="I1759" s="1521">
        <v>0</v>
      </c>
      <c r="J1759" s="1538">
        <v>0</v>
      </c>
      <c r="K1759" s="1525"/>
      <c r="L1759" s="1519">
        <v>13163960200</v>
      </c>
      <c r="M1759" s="1520">
        <v>0</v>
      </c>
      <c r="N1759" s="1520">
        <v>0</v>
      </c>
      <c r="O1759" s="1521">
        <v>0</v>
      </c>
    </row>
    <row r="1760" spans="3:15" ht="13.5">
      <c r="C1760" s="1526" t="s">
        <v>5718</v>
      </c>
      <c r="D1760" s="1523">
        <v>0</v>
      </c>
      <c r="E1760" s="1523">
        <v>0</v>
      </c>
      <c r="F1760" s="1524">
        <v>0</v>
      </c>
      <c r="G1760" s="1537" t="s">
        <v>5718</v>
      </c>
      <c r="H1760" s="1521">
        <v>0</v>
      </c>
      <c r="I1760" s="1521">
        <v>0</v>
      </c>
      <c r="J1760" s="1538">
        <v>0</v>
      </c>
      <c r="K1760" s="1525"/>
      <c r="L1760" s="1519">
        <v>13163960300</v>
      </c>
      <c r="M1760" s="1520">
        <v>0</v>
      </c>
      <c r="N1760" s="1520">
        <v>0</v>
      </c>
      <c r="O1760" s="1521">
        <v>0</v>
      </c>
    </row>
    <row r="1761" spans="3:15" ht="13.5">
      <c r="C1761" s="1526" t="s">
        <v>5719</v>
      </c>
      <c r="D1761" s="1523">
        <v>0</v>
      </c>
      <c r="E1761" s="1523">
        <v>0</v>
      </c>
      <c r="F1761" s="1524">
        <v>0</v>
      </c>
      <c r="G1761" s="1537" t="s">
        <v>5719</v>
      </c>
      <c r="H1761" s="1521">
        <v>0</v>
      </c>
      <c r="I1761" s="1521" t="s">
        <v>4096</v>
      </c>
      <c r="J1761" s="1538">
        <v>0</v>
      </c>
      <c r="K1761" s="1525"/>
      <c r="L1761" s="1519">
        <v>13163960400</v>
      </c>
      <c r="M1761" s="1520">
        <v>0</v>
      </c>
      <c r="N1761" s="1520">
        <v>0</v>
      </c>
      <c r="O1761" s="1521">
        <v>0</v>
      </c>
    </row>
    <row r="1762" spans="3:15" ht="13.5">
      <c r="C1762" s="1526" t="s">
        <v>5720</v>
      </c>
      <c r="D1762" s="1523">
        <v>0</v>
      </c>
      <c r="E1762" s="1523">
        <v>0</v>
      </c>
      <c r="F1762" s="1524">
        <v>0</v>
      </c>
      <c r="G1762" s="1537" t="s">
        <v>5720</v>
      </c>
      <c r="H1762" s="1521">
        <v>0</v>
      </c>
      <c r="I1762" s="1521">
        <v>0</v>
      </c>
      <c r="J1762" s="1538">
        <v>0</v>
      </c>
      <c r="K1762" s="1525"/>
      <c r="L1762" s="1519">
        <v>13165960100</v>
      </c>
      <c r="M1762" s="1520">
        <v>0</v>
      </c>
      <c r="N1762" s="1520">
        <v>0</v>
      </c>
      <c r="O1762" s="1521">
        <v>0</v>
      </c>
    </row>
    <row r="1763" spans="3:15" ht="13.5">
      <c r="C1763" s="1526" t="s">
        <v>5721</v>
      </c>
      <c r="D1763" s="1523">
        <v>0</v>
      </c>
      <c r="E1763" s="1523">
        <v>0</v>
      </c>
      <c r="F1763" s="1524">
        <v>0</v>
      </c>
      <c r="G1763" s="1537" t="s">
        <v>5721</v>
      </c>
      <c r="H1763" s="1521">
        <v>0</v>
      </c>
      <c r="I1763" s="1521">
        <v>0</v>
      </c>
      <c r="J1763" s="1538">
        <v>0</v>
      </c>
      <c r="K1763" s="1525"/>
      <c r="L1763" s="1519">
        <v>13165960200</v>
      </c>
      <c r="M1763" s="1520">
        <v>0</v>
      </c>
      <c r="N1763" s="1520">
        <v>0</v>
      </c>
      <c r="O1763" s="1521">
        <v>0</v>
      </c>
    </row>
    <row r="1764" spans="3:15" ht="13.5">
      <c r="C1764" s="1526" t="s">
        <v>5722</v>
      </c>
      <c r="D1764" s="1523">
        <v>0</v>
      </c>
      <c r="E1764" s="1523">
        <v>0</v>
      </c>
      <c r="F1764" s="1524">
        <v>0</v>
      </c>
      <c r="G1764" s="1537" t="s">
        <v>5722</v>
      </c>
      <c r="H1764" s="1521">
        <v>0</v>
      </c>
      <c r="I1764" s="1521">
        <v>1</v>
      </c>
      <c r="J1764" s="1538">
        <v>0</v>
      </c>
      <c r="K1764" s="1525"/>
      <c r="L1764" s="1519">
        <v>13167960100</v>
      </c>
      <c r="M1764" s="1520">
        <v>0</v>
      </c>
      <c r="N1764" s="1520">
        <v>1</v>
      </c>
      <c r="O1764" s="1521">
        <v>0</v>
      </c>
    </row>
    <row r="1765" spans="3:15" ht="13.5">
      <c r="C1765" s="1526" t="s">
        <v>5723</v>
      </c>
      <c r="D1765" s="1523">
        <v>0</v>
      </c>
      <c r="E1765" s="1523">
        <v>0</v>
      </c>
      <c r="F1765" s="1524">
        <v>0</v>
      </c>
      <c r="G1765" s="1537" t="s">
        <v>5723</v>
      </c>
      <c r="H1765" s="1521">
        <v>0</v>
      </c>
      <c r="I1765" s="1521">
        <v>0</v>
      </c>
      <c r="J1765" s="1538">
        <v>0</v>
      </c>
      <c r="K1765" s="1525"/>
      <c r="L1765" s="1519">
        <v>13167960200</v>
      </c>
      <c r="M1765" s="1520">
        <v>0</v>
      </c>
      <c r="N1765" s="1520">
        <v>0</v>
      </c>
      <c r="O1765" s="1521">
        <v>0</v>
      </c>
    </row>
    <row r="1766" spans="3:15" ht="13.5">
      <c r="C1766" s="1526" t="s">
        <v>5724</v>
      </c>
      <c r="D1766" s="1523">
        <v>0</v>
      </c>
      <c r="E1766" s="1523">
        <v>0</v>
      </c>
      <c r="F1766" s="1524">
        <v>0</v>
      </c>
      <c r="G1766" s="1537" t="s">
        <v>5724</v>
      </c>
      <c r="H1766" s="1521">
        <v>1</v>
      </c>
      <c r="I1766" s="1521">
        <v>1</v>
      </c>
      <c r="J1766" s="1538">
        <v>2</v>
      </c>
      <c r="K1766" s="1525"/>
      <c r="L1766" s="1519">
        <v>13167960300</v>
      </c>
      <c r="M1766" s="1520">
        <v>1</v>
      </c>
      <c r="N1766" s="1520">
        <v>1</v>
      </c>
      <c r="O1766" s="1521">
        <v>2</v>
      </c>
    </row>
    <row r="1767" spans="3:15" ht="13.5">
      <c r="C1767" s="1526" t="s">
        <v>5725</v>
      </c>
      <c r="D1767" s="1523">
        <v>1</v>
      </c>
      <c r="E1767" s="1523">
        <v>1</v>
      </c>
      <c r="F1767" s="1524">
        <v>2</v>
      </c>
      <c r="G1767" s="1537" t="s">
        <v>5725</v>
      </c>
      <c r="H1767" s="1521">
        <v>1</v>
      </c>
      <c r="I1767" s="1521">
        <v>1</v>
      </c>
      <c r="J1767" s="1538">
        <v>2</v>
      </c>
      <c r="K1767" s="1525"/>
      <c r="L1767" s="1519">
        <v>13169030101</v>
      </c>
      <c r="M1767" s="1520">
        <v>1</v>
      </c>
      <c r="N1767" s="1520">
        <v>1</v>
      </c>
      <c r="O1767" s="1521">
        <v>2</v>
      </c>
    </row>
    <row r="1768" spans="3:15" ht="13.5">
      <c r="C1768" s="1526" t="s">
        <v>5726</v>
      </c>
      <c r="D1768" s="1523">
        <v>1</v>
      </c>
      <c r="E1768" s="1523">
        <v>1</v>
      </c>
      <c r="F1768" s="1524">
        <v>2</v>
      </c>
      <c r="G1768" s="1537" t="s">
        <v>5726</v>
      </c>
      <c r="H1768" s="1521">
        <v>1</v>
      </c>
      <c r="I1768" s="1521">
        <v>0</v>
      </c>
      <c r="J1768" s="1538">
        <v>1</v>
      </c>
      <c r="K1768" s="1525"/>
      <c r="L1768" s="1519">
        <v>13169030103</v>
      </c>
      <c r="M1768" s="1520">
        <v>1</v>
      </c>
      <c r="N1768" s="1520">
        <v>1</v>
      </c>
      <c r="O1768" s="1521">
        <v>2</v>
      </c>
    </row>
    <row r="1769" spans="3:15" ht="13.5">
      <c r="C1769" s="1526" t="s">
        <v>5727</v>
      </c>
      <c r="D1769" s="1523">
        <v>0</v>
      </c>
      <c r="E1769" s="1523">
        <v>0</v>
      </c>
      <c r="F1769" s="1524">
        <v>0</v>
      </c>
      <c r="G1769" s="1537" t="s">
        <v>5727</v>
      </c>
      <c r="H1769" s="1521">
        <v>0</v>
      </c>
      <c r="I1769" s="1521">
        <v>0</v>
      </c>
      <c r="J1769" s="1538">
        <v>0</v>
      </c>
      <c r="K1769" s="1525"/>
      <c r="L1769" s="1519">
        <v>13169030104</v>
      </c>
      <c r="M1769" s="1520">
        <v>0</v>
      </c>
      <c r="N1769" s="1520">
        <v>0</v>
      </c>
      <c r="O1769" s="1521">
        <v>0</v>
      </c>
    </row>
    <row r="1770" spans="3:15" ht="13.5">
      <c r="C1770" s="1526" t="s">
        <v>5728</v>
      </c>
      <c r="D1770" s="1523">
        <v>0</v>
      </c>
      <c r="E1770" s="1523">
        <v>0</v>
      </c>
      <c r="F1770" s="1524">
        <v>0</v>
      </c>
      <c r="G1770" s="1537" t="s">
        <v>5728</v>
      </c>
      <c r="H1770" s="1521">
        <v>0</v>
      </c>
      <c r="I1770" s="1521">
        <v>0</v>
      </c>
      <c r="J1770" s="1538">
        <v>0</v>
      </c>
      <c r="K1770" s="1525"/>
      <c r="L1770" s="1519">
        <v>13169030200</v>
      </c>
      <c r="M1770" s="1520">
        <v>0</v>
      </c>
      <c r="N1770" s="1520">
        <v>0</v>
      </c>
      <c r="O1770" s="1521">
        <v>0</v>
      </c>
    </row>
    <row r="1771" spans="3:15" ht="13.5">
      <c r="C1771" s="1526" t="s">
        <v>5729</v>
      </c>
      <c r="D1771" s="1523">
        <v>1</v>
      </c>
      <c r="E1771" s="1523">
        <v>1</v>
      </c>
      <c r="F1771" s="1524">
        <v>2</v>
      </c>
      <c r="G1771" s="1537" t="s">
        <v>5729</v>
      </c>
      <c r="H1771" s="1521">
        <v>1</v>
      </c>
      <c r="I1771" s="1521">
        <v>1</v>
      </c>
      <c r="J1771" s="1538">
        <v>2</v>
      </c>
      <c r="K1771" s="1525"/>
      <c r="L1771" s="1519">
        <v>13169030301</v>
      </c>
      <c r="M1771" s="1520">
        <v>1</v>
      </c>
      <c r="N1771" s="1520">
        <v>1</v>
      </c>
      <c r="O1771" s="1521">
        <v>2</v>
      </c>
    </row>
    <row r="1772" spans="3:15" ht="13.5">
      <c r="C1772" s="1526" t="s">
        <v>5730</v>
      </c>
      <c r="D1772" s="1523">
        <v>0</v>
      </c>
      <c r="E1772" s="1523">
        <v>1</v>
      </c>
      <c r="F1772" s="1524">
        <v>1</v>
      </c>
      <c r="G1772" s="1537" t="s">
        <v>5730</v>
      </c>
      <c r="H1772" s="1521">
        <v>0</v>
      </c>
      <c r="I1772" s="1521">
        <v>0</v>
      </c>
      <c r="J1772" s="1538">
        <v>0</v>
      </c>
      <c r="K1772" s="1525"/>
      <c r="L1772" s="1519">
        <v>13169030302</v>
      </c>
      <c r="M1772" s="1520">
        <v>0</v>
      </c>
      <c r="N1772" s="1520">
        <v>1</v>
      </c>
      <c r="O1772" s="1521">
        <v>1</v>
      </c>
    </row>
    <row r="1773" spans="3:15" ht="13.5">
      <c r="C1773" s="1526" t="s">
        <v>5731</v>
      </c>
      <c r="D1773" s="1523">
        <v>0</v>
      </c>
      <c r="E1773" s="1523">
        <v>0</v>
      </c>
      <c r="F1773" s="1524">
        <v>0</v>
      </c>
      <c r="G1773" s="1537" t="s">
        <v>5731</v>
      </c>
      <c r="H1773" s="1521">
        <v>0</v>
      </c>
      <c r="I1773" s="1521">
        <v>0</v>
      </c>
      <c r="J1773" s="1538">
        <v>0</v>
      </c>
      <c r="K1773" s="1525"/>
      <c r="L1773" s="1519">
        <v>13171970100</v>
      </c>
      <c r="M1773" s="1520">
        <v>0</v>
      </c>
      <c r="N1773" s="1520">
        <v>0</v>
      </c>
      <c r="O1773" s="1521">
        <v>0</v>
      </c>
    </row>
    <row r="1774" spans="3:15" ht="13.5">
      <c r="C1774" s="1526" t="s">
        <v>5732</v>
      </c>
      <c r="D1774" s="1523">
        <v>0</v>
      </c>
      <c r="E1774" s="1523">
        <v>0</v>
      </c>
      <c r="F1774" s="1524">
        <v>0</v>
      </c>
      <c r="G1774" s="1537" t="s">
        <v>5732</v>
      </c>
      <c r="H1774" s="1521">
        <v>0</v>
      </c>
      <c r="I1774" s="1521">
        <v>0</v>
      </c>
      <c r="J1774" s="1538">
        <v>0</v>
      </c>
      <c r="K1774" s="1525"/>
      <c r="L1774" s="1519">
        <v>13171970200</v>
      </c>
      <c r="M1774" s="1520">
        <v>0</v>
      </c>
      <c r="N1774" s="1520">
        <v>0</v>
      </c>
      <c r="O1774" s="1521">
        <v>0</v>
      </c>
    </row>
    <row r="1775" spans="3:15" ht="13.5">
      <c r="C1775" s="1526" t="s">
        <v>5733</v>
      </c>
      <c r="D1775" s="1523">
        <v>0</v>
      </c>
      <c r="E1775" s="1523">
        <v>0</v>
      </c>
      <c r="F1775" s="1524">
        <v>0</v>
      </c>
      <c r="G1775" s="1537" t="s">
        <v>5733</v>
      </c>
      <c r="H1775" s="1521">
        <v>0</v>
      </c>
      <c r="I1775" s="1521">
        <v>0</v>
      </c>
      <c r="J1775" s="1538">
        <v>0</v>
      </c>
      <c r="K1775" s="1525"/>
      <c r="L1775" s="1519">
        <v>13171970300</v>
      </c>
      <c r="M1775" s="1520">
        <v>0</v>
      </c>
      <c r="N1775" s="1520">
        <v>0</v>
      </c>
      <c r="O1775" s="1521">
        <v>0</v>
      </c>
    </row>
    <row r="1776" spans="3:15" ht="13.5">
      <c r="C1776" s="1526" t="s">
        <v>5734</v>
      </c>
      <c r="D1776" s="1523">
        <v>0</v>
      </c>
      <c r="E1776" s="1523">
        <v>0</v>
      </c>
      <c r="F1776" s="1524">
        <v>0</v>
      </c>
      <c r="G1776" s="1537" t="s">
        <v>5734</v>
      </c>
      <c r="H1776" s="1521">
        <v>0</v>
      </c>
      <c r="I1776" s="1521">
        <v>0</v>
      </c>
      <c r="J1776" s="1538">
        <v>0</v>
      </c>
      <c r="K1776" s="1525"/>
      <c r="L1776" s="1519">
        <v>13173950100</v>
      </c>
      <c r="M1776" s="1520">
        <v>0</v>
      </c>
      <c r="N1776" s="1520">
        <v>0</v>
      </c>
      <c r="O1776" s="1521">
        <v>0</v>
      </c>
    </row>
    <row r="1777" spans="3:15" ht="13.5">
      <c r="C1777" s="1526" t="s">
        <v>5735</v>
      </c>
      <c r="D1777" s="1523">
        <v>0</v>
      </c>
      <c r="E1777" s="1523">
        <v>0</v>
      </c>
      <c r="F1777" s="1524">
        <v>0</v>
      </c>
      <c r="G1777" s="1537" t="s">
        <v>5735</v>
      </c>
      <c r="H1777" s="1521">
        <v>0</v>
      </c>
      <c r="I1777" s="1521">
        <v>0</v>
      </c>
      <c r="J1777" s="1538">
        <v>0</v>
      </c>
      <c r="K1777" s="1525"/>
      <c r="L1777" s="1519">
        <v>13173950200</v>
      </c>
      <c r="M1777" s="1520">
        <v>0</v>
      </c>
      <c r="N1777" s="1520">
        <v>0</v>
      </c>
      <c r="O1777" s="1521">
        <v>0</v>
      </c>
    </row>
    <row r="1778" spans="3:15" ht="13.5">
      <c r="C1778" s="1526" t="s">
        <v>5736</v>
      </c>
      <c r="D1778" s="1523">
        <v>0</v>
      </c>
      <c r="E1778" s="1523">
        <v>0</v>
      </c>
      <c r="F1778" s="1524">
        <v>0</v>
      </c>
      <c r="G1778" s="1537" t="s">
        <v>5736</v>
      </c>
      <c r="H1778" s="1521">
        <v>0</v>
      </c>
      <c r="I1778" s="1521">
        <v>0</v>
      </c>
      <c r="J1778" s="1538">
        <v>0</v>
      </c>
      <c r="K1778" s="1525"/>
      <c r="L1778" s="1519">
        <v>13175950100</v>
      </c>
      <c r="M1778" s="1520">
        <v>0</v>
      </c>
      <c r="N1778" s="1520">
        <v>0</v>
      </c>
      <c r="O1778" s="1521">
        <v>0</v>
      </c>
    </row>
    <row r="1779" spans="3:15" ht="13.5">
      <c r="C1779" s="1526" t="s">
        <v>5737</v>
      </c>
      <c r="D1779" s="1523">
        <v>0</v>
      </c>
      <c r="E1779" s="1523">
        <v>1</v>
      </c>
      <c r="F1779" s="1524">
        <v>1</v>
      </c>
      <c r="G1779" s="1537" t="s">
        <v>5737</v>
      </c>
      <c r="H1779" s="1521">
        <v>1</v>
      </c>
      <c r="I1779" s="1521">
        <v>1</v>
      </c>
      <c r="J1779" s="1538">
        <v>2</v>
      </c>
      <c r="K1779" s="1525"/>
      <c r="L1779" s="1519">
        <v>13175950201</v>
      </c>
      <c r="M1779" s="1520">
        <v>1</v>
      </c>
      <c r="N1779" s="1520">
        <v>1</v>
      </c>
      <c r="O1779" s="1521">
        <v>2</v>
      </c>
    </row>
    <row r="1780" spans="3:15" ht="13.5">
      <c r="C1780" s="1526" t="s">
        <v>5738</v>
      </c>
      <c r="D1780" s="1523">
        <v>1</v>
      </c>
      <c r="E1780" s="1523">
        <v>1</v>
      </c>
      <c r="F1780" s="1524">
        <v>2</v>
      </c>
      <c r="G1780" s="1537" t="s">
        <v>5738</v>
      </c>
      <c r="H1780" s="1521">
        <v>1</v>
      </c>
      <c r="I1780" s="1521">
        <v>1</v>
      </c>
      <c r="J1780" s="1538">
        <v>2</v>
      </c>
      <c r="K1780" s="1525"/>
      <c r="L1780" s="1519">
        <v>13175950202</v>
      </c>
      <c r="M1780" s="1520">
        <v>1</v>
      </c>
      <c r="N1780" s="1520">
        <v>1</v>
      </c>
      <c r="O1780" s="1521">
        <v>2</v>
      </c>
    </row>
    <row r="1781" spans="3:15" ht="13.5">
      <c r="C1781" s="1526" t="s">
        <v>5739</v>
      </c>
      <c r="D1781" s="1523">
        <v>0</v>
      </c>
      <c r="E1781" s="1523">
        <v>0</v>
      </c>
      <c r="F1781" s="1524">
        <v>0</v>
      </c>
      <c r="G1781" s="1537" t="s">
        <v>5739</v>
      </c>
      <c r="H1781" s="1521">
        <v>0</v>
      </c>
      <c r="I1781" s="1521">
        <v>0</v>
      </c>
      <c r="J1781" s="1538">
        <v>0</v>
      </c>
      <c r="K1781" s="1525"/>
      <c r="L1781" s="1519">
        <v>13175950300</v>
      </c>
      <c r="M1781" s="1520">
        <v>0</v>
      </c>
      <c r="N1781" s="1520">
        <v>0</v>
      </c>
      <c r="O1781" s="1521">
        <v>0</v>
      </c>
    </row>
    <row r="1782" spans="3:15" ht="13.5">
      <c r="C1782" s="1526" t="s">
        <v>5740</v>
      </c>
      <c r="D1782" s="1523">
        <v>0</v>
      </c>
      <c r="E1782" s="1523">
        <v>0</v>
      </c>
      <c r="F1782" s="1524">
        <v>0</v>
      </c>
      <c r="G1782" s="1537" t="s">
        <v>5740</v>
      </c>
      <c r="H1782" s="1521">
        <v>0</v>
      </c>
      <c r="I1782" s="1521">
        <v>0</v>
      </c>
      <c r="J1782" s="1538">
        <v>0</v>
      </c>
      <c r="K1782" s="1525"/>
      <c r="L1782" s="1519">
        <v>13175950400</v>
      </c>
      <c r="M1782" s="1520">
        <v>0</v>
      </c>
      <c r="N1782" s="1520">
        <v>0</v>
      </c>
      <c r="O1782" s="1521">
        <v>0</v>
      </c>
    </row>
    <row r="1783" spans="3:15" ht="13.5">
      <c r="C1783" s="1526" t="s">
        <v>5741</v>
      </c>
      <c r="D1783" s="1523">
        <v>0</v>
      </c>
      <c r="E1783" s="1523">
        <v>0</v>
      </c>
      <c r="F1783" s="1524">
        <v>0</v>
      </c>
      <c r="G1783" s="1537" t="s">
        <v>5741</v>
      </c>
      <c r="H1783" s="1521">
        <v>0</v>
      </c>
      <c r="I1783" s="1521">
        <v>0</v>
      </c>
      <c r="J1783" s="1538">
        <v>0</v>
      </c>
      <c r="K1783" s="1525"/>
      <c r="L1783" s="1519">
        <v>13175950500</v>
      </c>
      <c r="M1783" s="1520">
        <v>0</v>
      </c>
      <c r="N1783" s="1520">
        <v>0</v>
      </c>
      <c r="O1783" s="1521">
        <v>0</v>
      </c>
    </row>
    <row r="1784" spans="3:15" ht="13.5">
      <c r="C1784" s="1526" t="s">
        <v>5742</v>
      </c>
      <c r="D1784" s="1523">
        <v>1</v>
      </c>
      <c r="E1784" s="1523">
        <v>0</v>
      </c>
      <c r="F1784" s="1524">
        <v>1</v>
      </c>
      <c r="G1784" s="1537" t="s">
        <v>5742</v>
      </c>
      <c r="H1784" s="1521">
        <v>0</v>
      </c>
      <c r="I1784" s="1521">
        <v>1</v>
      </c>
      <c r="J1784" s="1538">
        <v>1</v>
      </c>
      <c r="K1784" s="1525"/>
      <c r="L1784" s="1519">
        <v>13175950600</v>
      </c>
      <c r="M1784" s="1520">
        <v>1</v>
      </c>
      <c r="N1784" s="1520">
        <v>1</v>
      </c>
      <c r="O1784" s="1521">
        <v>1</v>
      </c>
    </row>
    <row r="1785" spans="3:15" ht="13.5">
      <c r="C1785" s="1526" t="s">
        <v>5743</v>
      </c>
      <c r="D1785" s="1523">
        <v>0</v>
      </c>
      <c r="E1785" s="1523">
        <v>0</v>
      </c>
      <c r="F1785" s="1524">
        <v>0</v>
      </c>
      <c r="G1785" s="1537" t="s">
        <v>5743</v>
      </c>
      <c r="H1785" s="1521">
        <v>0</v>
      </c>
      <c r="I1785" s="1521">
        <v>1</v>
      </c>
      <c r="J1785" s="1538">
        <v>1</v>
      </c>
      <c r="K1785" s="1525"/>
      <c r="L1785" s="1519">
        <v>13175950700</v>
      </c>
      <c r="M1785" s="1520">
        <v>0</v>
      </c>
      <c r="N1785" s="1520">
        <v>1</v>
      </c>
      <c r="O1785" s="1521">
        <v>1</v>
      </c>
    </row>
    <row r="1786" spans="3:15" ht="13.5">
      <c r="C1786" s="1526" t="s">
        <v>5744</v>
      </c>
      <c r="D1786" s="1523">
        <v>0</v>
      </c>
      <c r="E1786" s="1523">
        <v>0</v>
      </c>
      <c r="F1786" s="1524">
        <v>0</v>
      </c>
      <c r="G1786" s="1537" t="s">
        <v>5744</v>
      </c>
      <c r="H1786" s="1521">
        <v>0</v>
      </c>
      <c r="I1786" s="1521">
        <v>0</v>
      </c>
      <c r="J1786" s="1538">
        <v>0</v>
      </c>
      <c r="K1786" s="1525"/>
      <c r="L1786" s="1519">
        <v>13175950800</v>
      </c>
      <c r="M1786" s="1520">
        <v>0</v>
      </c>
      <c r="N1786" s="1520">
        <v>0</v>
      </c>
      <c r="O1786" s="1521">
        <v>0</v>
      </c>
    </row>
    <row r="1787" spans="3:15" ht="13.5">
      <c r="C1787" s="1526" t="s">
        <v>5745</v>
      </c>
      <c r="D1787" s="1523">
        <v>0</v>
      </c>
      <c r="E1787" s="1523">
        <v>0</v>
      </c>
      <c r="F1787" s="1524">
        <v>0</v>
      </c>
      <c r="G1787" s="1537" t="s">
        <v>5745</v>
      </c>
      <c r="H1787" s="1521">
        <v>0</v>
      </c>
      <c r="I1787" s="1521">
        <v>0</v>
      </c>
      <c r="J1787" s="1538">
        <v>0</v>
      </c>
      <c r="K1787" s="1525"/>
      <c r="L1787" s="1519">
        <v>13175950900</v>
      </c>
      <c r="M1787" s="1520">
        <v>0</v>
      </c>
      <c r="N1787" s="1520">
        <v>0</v>
      </c>
      <c r="O1787" s="1521">
        <v>0</v>
      </c>
    </row>
    <row r="1788" spans="3:15" ht="13.5">
      <c r="C1788" s="1526" t="s">
        <v>5746</v>
      </c>
      <c r="D1788" s="1523">
        <v>0</v>
      </c>
      <c r="E1788" s="1523">
        <v>0</v>
      </c>
      <c r="F1788" s="1524">
        <v>0</v>
      </c>
      <c r="G1788" s="1537" t="s">
        <v>5746</v>
      </c>
      <c r="H1788" s="1521">
        <v>0</v>
      </c>
      <c r="I1788" s="1521">
        <v>0</v>
      </c>
      <c r="J1788" s="1538">
        <v>0</v>
      </c>
      <c r="K1788" s="1525"/>
      <c r="L1788" s="1519">
        <v>13175951000</v>
      </c>
      <c r="M1788" s="1520">
        <v>0</v>
      </c>
      <c r="N1788" s="1520">
        <v>0</v>
      </c>
      <c r="O1788" s="1521">
        <v>0</v>
      </c>
    </row>
    <row r="1789" spans="3:15" ht="13.5">
      <c r="C1789" s="1526" t="s">
        <v>5747</v>
      </c>
      <c r="D1789" s="1523">
        <v>0</v>
      </c>
      <c r="E1789" s="1523">
        <v>0</v>
      </c>
      <c r="F1789" s="1524">
        <v>0</v>
      </c>
      <c r="G1789" s="1537" t="s">
        <v>5747</v>
      </c>
      <c r="H1789" s="1521">
        <v>0</v>
      </c>
      <c r="I1789" s="1521">
        <v>0</v>
      </c>
      <c r="J1789" s="1538">
        <v>0</v>
      </c>
      <c r="K1789" s="1525"/>
      <c r="L1789" s="1519">
        <v>13175951100</v>
      </c>
      <c r="M1789" s="1520">
        <v>0</v>
      </c>
      <c r="N1789" s="1520">
        <v>0</v>
      </c>
      <c r="O1789" s="1521">
        <v>0</v>
      </c>
    </row>
    <row r="1790" spans="3:15" ht="13.5">
      <c r="C1790" s="1526" t="s">
        <v>5748</v>
      </c>
      <c r="D1790" s="1523">
        <v>0</v>
      </c>
      <c r="E1790" s="1523">
        <v>0</v>
      </c>
      <c r="F1790" s="1524">
        <v>0</v>
      </c>
      <c r="G1790" s="1537" t="s">
        <v>5748</v>
      </c>
      <c r="H1790" s="1521">
        <v>0</v>
      </c>
      <c r="I1790" s="1521" t="s">
        <v>4096</v>
      </c>
      <c r="J1790" s="1538">
        <v>0</v>
      </c>
      <c r="K1790" s="1525"/>
      <c r="L1790" s="1519">
        <v>13175951400</v>
      </c>
      <c r="M1790" s="1520">
        <v>0</v>
      </c>
      <c r="N1790" s="1520">
        <v>0</v>
      </c>
      <c r="O1790" s="1521">
        <v>0</v>
      </c>
    </row>
    <row r="1791" spans="3:15" ht="13.5">
      <c r="C1791" s="1526" t="s">
        <v>5749</v>
      </c>
      <c r="D1791" s="1523">
        <v>1</v>
      </c>
      <c r="E1791" s="1523">
        <v>1</v>
      </c>
      <c r="F1791" s="1524">
        <v>2</v>
      </c>
      <c r="G1791" s="1537" t="s">
        <v>5749</v>
      </c>
      <c r="H1791" s="1521">
        <v>0</v>
      </c>
      <c r="I1791" s="1521">
        <v>1</v>
      </c>
      <c r="J1791" s="1538">
        <v>1</v>
      </c>
      <c r="K1791" s="1525"/>
      <c r="L1791" s="1519">
        <v>13177020100</v>
      </c>
      <c r="M1791" s="1520">
        <v>1</v>
      </c>
      <c r="N1791" s="1520">
        <v>1</v>
      </c>
      <c r="O1791" s="1521">
        <v>2</v>
      </c>
    </row>
    <row r="1792" spans="3:15" ht="13.5">
      <c r="C1792" s="1526" t="s">
        <v>5750</v>
      </c>
      <c r="D1792" s="1523">
        <v>0</v>
      </c>
      <c r="E1792" s="1523">
        <v>0</v>
      </c>
      <c r="F1792" s="1524">
        <v>0</v>
      </c>
      <c r="G1792" s="1537" t="s">
        <v>5750</v>
      </c>
      <c r="H1792" s="1521">
        <v>0</v>
      </c>
      <c r="I1792" s="1521" t="s">
        <v>4096</v>
      </c>
      <c r="J1792" s="1538">
        <v>0</v>
      </c>
      <c r="K1792" s="1525"/>
      <c r="L1792" s="1519">
        <v>13177020200</v>
      </c>
      <c r="M1792" s="1520">
        <v>0</v>
      </c>
      <c r="N1792" s="1520">
        <v>0</v>
      </c>
      <c r="O1792" s="1521">
        <v>0</v>
      </c>
    </row>
    <row r="1793" spans="3:15" ht="13.5">
      <c r="C1793" s="1526" t="s">
        <v>5751</v>
      </c>
      <c r="D1793" s="1523">
        <v>0</v>
      </c>
      <c r="E1793" s="1523">
        <v>1</v>
      </c>
      <c r="F1793" s="1524">
        <v>1</v>
      </c>
      <c r="G1793" s="1537" t="s">
        <v>5751</v>
      </c>
      <c r="H1793" s="1521">
        <v>0</v>
      </c>
      <c r="I1793" s="1521">
        <v>0</v>
      </c>
      <c r="J1793" s="1538">
        <v>0</v>
      </c>
      <c r="K1793" s="1525"/>
      <c r="L1793" s="1519">
        <v>13177020300</v>
      </c>
      <c r="M1793" s="1520">
        <v>0</v>
      </c>
      <c r="N1793" s="1520">
        <v>1</v>
      </c>
      <c r="O1793" s="1521">
        <v>1</v>
      </c>
    </row>
    <row r="1794" spans="3:15" ht="13.5">
      <c r="C1794" s="1526" t="s">
        <v>5752</v>
      </c>
      <c r="D1794" s="1523">
        <v>1</v>
      </c>
      <c r="E1794" s="1523">
        <v>1</v>
      </c>
      <c r="F1794" s="1524">
        <v>2</v>
      </c>
      <c r="G1794" s="1537" t="s">
        <v>5752</v>
      </c>
      <c r="H1794" s="1521">
        <v>1</v>
      </c>
      <c r="I1794" s="1521">
        <v>0</v>
      </c>
      <c r="J1794" s="1538">
        <v>1</v>
      </c>
      <c r="K1794" s="1525"/>
      <c r="L1794" s="1519">
        <v>13177020402</v>
      </c>
      <c r="M1794" s="1520">
        <v>1</v>
      </c>
      <c r="N1794" s="1520">
        <v>1</v>
      </c>
      <c r="O1794" s="1521">
        <v>2</v>
      </c>
    </row>
    <row r="1795" spans="3:15" ht="13.5">
      <c r="C1795" s="1526" t="s">
        <v>5753</v>
      </c>
      <c r="D1795" s="1523">
        <v>1</v>
      </c>
      <c r="E1795" s="1523">
        <v>1</v>
      </c>
      <c r="F1795" s="1524">
        <v>2</v>
      </c>
      <c r="G1795" s="1537" t="s">
        <v>5753</v>
      </c>
      <c r="H1795" s="1521">
        <v>1</v>
      </c>
      <c r="I1795" s="1521">
        <v>1</v>
      </c>
      <c r="J1795" s="1538">
        <v>2</v>
      </c>
      <c r="K1795" s="1525"/>
      <c r="L1795" s="1519">
        <v>13177020403</v>
      </c>
      <c r="M1795" s="1520">
        <v>1</v>
      </c>
      <c r="N1795" s="1520">
        <v>1</v>
      </c>
      <c r="O1795" s="1521">
        <v>2</v>
      </c>
    </row>
    <row r="1796" spans="3:15" ht="13.5">
      <c r="C1796" s="1526" t="s">
        <v>5754</v>
      </c>
      <c r="D1796" s="1523">
        <v>0</v>
      </c>
      <c r="E1796" s="1523">
        <v>1</v>
      </c>
      <c r="F1796" s="1524">
        <v>1</v>
      </c>
      <c r="G1796" s="1537" t="s">
        <v>5754</v>
      </c>
      <c r="H1796" s="1521">
        <v>0</v>
      </c>
      <c r="I1796" s="1521" t="s">
        <v>4096</v>
      </c>
      <c r="J1796" s="1538">
        <v>0</v>
      </c>
      <c r="K1796" s="1525"/>
      <c r="L1796" s="1519">
        <v>13179010101</v>
      </c>
      <c r="M1796" s="1520">
        <v>0</v>
      </c>
      <c r="N1796" s="1520">
        <v>1</v>
      </c>
      <c r="O1796" s="1521">
        <v>1</v>
      </c>
    </row>
    <row r="1797" spans="3:15" ht="13.5">
      <c r="C1797" s="1526" t="s">
        <v>5755</v>
      </c>
      <c r="D1797" s="1523">
        <v>1</v>
      </c>
      <c r="E1797" s="1523">
        <v>1</v>
      </c>
      <c r="F1797" s="1524">
        <v>2</v>
      </c>
      <c r="G1797" s="1537" t="s">
        <v>5755</v>
      </c>
      <c r="H1797" s="1521">
        <v>1</v>
      </c>
      <c r="I1797" s="1521" t="s">
        <v>4096</v>
      </c>
      <c r="J1797" s="1538">
        <v>1</v>
      </c>
      <c r="K1797" s="1525"/>
      <c r="L1797" s="1519">
        <v>13179010102</v>
      </c>
      <c r="M1797" s="1520">
        <v>1</v>
      </c>
      <c r="N1797" s="1520">
        <v>1</v>
      </c>
      <c r="O1797" s="1521">
        <v>2</v>
      </c>
    </row>
    <row r="1798" spans="3:15" ht="13.5">
      <c r="C1798" s="1526" t="s">
        <v>5756</v>
      </c>
      <c r="D1798" s="1523">
        <v>0</v>
      </c>
      <c r="E1798" s="1523">
        <v>1</v>
      </c>
      <c r="F1798" s="1524">
        <v>1</v>
      </c>
      <c r="G1798" s="1537" t="s">
        <v>5756</v>
      </c>
      <c r="H1798" s="1521">
        <v>0</v>
      </c>
      <c r="I1798" s="1521" t="s">
        <v>4096</v>
      </c>
      <c r="J1798" s="1538">
        <v>0</v>
      </c>
      <c r="K1798" s="1525"/>
      <c r="L1798" s="1519">
        <v>13179010103</v>
      </c>
      <c r="M1798" s="1520">
        <v>0</v>
      </c>
      <c r="N1798" s="1520">
        <v>1</v>
      </c>
      <c r="O1798" s="1521">
        <v>1</v>
      </c>
    </row>
    <row r="1799" spans="3:15" ht="13.5">
      <c r="C1799" s="1526" t="s">
        <v>5757</v>
      </c>
      <c r="D1799" s="1523">
        <v>0</v>
      </c>
      <c r="E1799" s="1523">
        <v>1</v>
      </c>
      <c r="F1799" s="1524">
        <v>1</v>
      </c>
      <c r="G1799" s="1537" t="s">
        <v>5757</v>
      </c>
      <c r="H1799" s="1521">
        <v>0</v>
      </c>
      <c r="I1799" s="1521">
        <v>1</v>
      </c>
      <c r="J1799" s="1538">
        <v>1</v>
      </c>
      <c r="K1799" s="1525"/>
      <c r="L1799" s="1519">
        <v>13179010202</v>
      </c>
      <c r="M1799" s="1520">
        <v>0</v>
      </c>
      <c r="N1799" s="1520">
        <v>1</v>
      </c>
      <c r="O1799" s="1521">
        <v>1</v>
      </c>
    </row>
    <row r="1800" spans="3:15" ht="13.5">
      <c r="C1800" s="1526" t="s">
        <v>5758</v>
      </c>
      <c r="D1800" s="1523">
        <v>0</v>
      </c>
      <c r="E1800" s="1523">
        <v>0</v>
      </c>
      <c r="F1800" s="1524">
        <v>0</v>
      </c>
      <c r="G1800" s="1537" t="s">
        <v>5758</v>
      </c>
      <c r="H1800" s="1521">
        <v>0</v>
      </c>
      <c r="I1800" s="1521">
        <v>0</v>
      </c>
      <c r="J1800" s="1538">
        <v>0</v>
      </c>
      <c r="K1800" s="1525"/>
      <c r="L1800" s="1519">
        <v>13179010204</v>
      </c>
      <c r="M1800" s="1520">
        <v>0</v>
      </c>
      <c r="N1800" s="1520">
        <v>0</v>
      </c>
      <c r="O1800" s="1521">
        <v>0</v>
      </c>
    </row>
    <row r="1801" spans="3:15" ht="13.5">
      <c r="C1801" s="1526" t="s">
        <v>5759</v>
      </c>
      <c r="D1801" s="1523">
        <v>0</v>
      </c>
      <c r="E1801" s="1523">
        <v>1</v>
      </c>
      <c r="F1801" s="1524">
        <v>1</v>
      </c>
      <c r="G1801" s="1537" t="s">
        <v>5759</v>
      </c>
      <c r="H1801" s="1521">
        <v>0</v>
      </c>
      <c r="I1801" s="1521">
        <v>0</v>
      </c>
      <c r="J1801" s="1538">
        <v>0</v>
      </c>
      <c r="K1801" s="1525"/>
      <c r="L1801" s="1519">
        <v>13179010205</v>
      </c>
      <c r="M1801" s="1520">
        <v>0</v>
      </c>
      <c r="N1801" s="1520">
        <v>1</v>
      </c>
      <c r="O1801" s="1521">
        <v>1</v>
      </c>
    </row>
    <row r="1802" spans="3:15" ht="13.5">
      <c r="C1802" s="1526" t="s">
        <v>5760</v>
      </c>
      <c r="D1802" s="1523">
        <v>0</v>
      </c>
      <c r="E1802" s="1523">
        <v>1</v>
      </c>
      <c r="F1802" s="1524">
        <v>1</v>
      </c>
      <c r="G1802" s="1537" t="s">
        <v>5760</v>
      </c>
      <c r="H1802" s="1521">
        <v>0</v>
      </c>
      <c r="I1802" s="1521">
        <v>1</v>
      </c>
      <c r="J1802" s="1538">
        <v>1</v>
      </c>
      <c r="K1802" s="1525"/>
      <c r="L1802" s="1519">
        <v>13179010206</v>
      </c>
      <c r="M1802" s="1520">
        <v>0</v>
      </c>
      <c r="N1802" s="1520">
        <v>1</v>
      </c>
      <c r="O1802" s="1521">
        <v>1</v>
      </c>
    </row>
    <row r="1803" spans="3:15" ht="13.5">
      <c r="C1803" s="1526" t="s">
        <v>5761</v>
      </c>
      <c r="D1803" s="1523">
        <v>0</v>
      </c>
      <c r="E1803" s="1523">
        <v>0</v>
      </c>
      <c r="F1803" s="1524">
        <v>0</v>
      </c>
      <c r="G1803" s="1537" t="s">
        <v>5761</v>
      </c>
      <c r="H1803" s="1521">
        <v>0</v>
      </c>
      <c r="I1803" s="1521">
        <v>0</v>
      </c>
      <c r="J1803" s="1538">
        <v>0</v>
      </c>
      <c r="K1803" s="1525"/>
      <c r="L1803" s="1519">
        <v>13179010207</v>
      </c>
      <c r="M1803" s="1520">
        <v>0</v>
      </c>
      <c r="N1803" s="1520">
        <v>0</v>
      </c>
      <c r="O1803" s="1521">
        <v>0</v>
      </c>
    </row>
    <row r="1804" spans="3:15" ht="13.5">
      <c r="C1804" s="1526" t="s">
        <v>5762</v>
      </c>
      <c r="D1804" s="1523">
        <v>0</v>
      </c>
      <c r="E1804" s="1523">
        <v>1</v>
      </c>
      <c r="F1804" s="1524">
        <v>1</v>
      </c>
      <c r="G1804" s="1537" t="s">
        <v>5762</v>
      </c>
      <c r="H1804" s="1521">
        <v>0</v>
      </c>
      <c r="I1804" s="1521" t="s">
        <v>4096</v>
      </c>
      <c r="J1804" s="1538">
        <v>0</v>
      </c>
      <c r="K1804" s="1525"/>
      <c r="L1804" s="1519">
        <v>13179010208</v>
      </c>
      <c r="M1804" s="1520">
        <v>0</v>
      </c>
      <c r="N1804" s="1520">
        <v>1</v>
      </c>
      <c r="O1804" s="1521">
        <v>1</v>
      </c>
    </row>
    <row r="1805" spans="3:15" ht="13.5">
      <c r="C1805" s="1526" t="s">
        <v>5763</v>
      </c>
      <c r="D1805" s="1523">
        <v>0</v>
      </c>
      <c r="E1805" s="1523">
        <v>1</v>
      </c>
      <c r="F1805" s="1524">
        <v>1</v>
      </c>
      <c r="G1805" s="1537" t="s">
        <v>5763</v>
      </c>
      <c r="H1805" s="1521">
        <v>0</v>
      </c>
      <c r="I1805" s="1521">
        <v>1</v>
      </c>
      <c r="J1805" s="1538">
        <v>1</v>
      </c>
      <c r="K1805" s="1525"/>
      <c r="L1805" s="1519">
        <v>13179010300</v>
      </c>
      <c r="M1805" s="1520">
        <v>0</v>
      </c>
      <c r="N1805" s="1520">
        <v>1</v>
      </c>
      <c r="O1805" s="1521">
        <v>1</v>
      </c>
    </row>
    <row r="1806" spans="3:15" ht="13.5">
      <c r="C1806" s="1526" t="s">
        <v>5764</v>
      </c>
      <c r="D1806" s="1523">
        <v>0</v>
      </c>
      <c r="E1806" s="1523">
        <v>0</v>
      </c>
      <c r="F1806" s="1524">
        <v>0</v>
      </c>
      <c r="G1806" s="1537" t="s">
        <v>5764</v>
      </c>
      <c r="H1806" s="1521">
        <v>0</v>
      </c>
      <c r="I1806" s="1521">
        <v>0</v>
      </c>
      <c r="J1806" s="1538">
        <v>0</v>
      </c>
      <c r="K1806" s="1525"/>
      <c r="L1806" s="1519">
        <v>13179010400</v>
      </c>
      <c r="M1806" s="1520">
        <v>0</v>
      </c>
      <c r="N1806" s="1520">
        <v>0</v>
      </c>
      <c r="O1806" s="1521">
        <v>0</v>
      </c>
    </row>
    <row r="1807" spans="3:15" ht="13.5">
      <c r="C1807" s="1526" t="s">
        <v>5765</v>
      </c>
      <c r="D1807" s="1523">
        <v>1</v>
      </c>
      <c r="E1807" s="1523">
        <v>1</v>
      </c>
      <c r="F1807" s="1524">
        <v>2</v>
      </c>
      <c r="G1807" s="1537" t="s">
        <v>5765</v>
      </c>
      <c r="H1807" s="1521">
        <v>0</v>
      </c>
      <c r="I1807" s="1521">
        <v>0</v>
      </c>
      <c r="J1807" s="1538">
        <v>0</v>
      </c>
      <c r="K1807" s="1525"/>
      <c r="L1807" s="1519">
        <v>13179010501</v>
      </c>
      <c r="M1807" s="1520">
        <v>1</v>
      </c>
      <c r="N1807" s="1520">
        <v>1</v>
      </c>
      <c r="O1807" s="1521">
        <v>2</v>
      </c>
    </row>
    <row r="1808" spans="3:15" ht="13.5">
      <c r="C1808" s="1526" t="s">
        <v>5766</v>
      </c>
      <c r="D1808" s="1523">
        <v>0</v>
      </c>
      <c r="E1808" s="1523">
        <v>0</v>
      </c>
      <c r="F1808" s="1524">
        <v>0</v>
      </c>
      <c r="G1808" s="1537" t="s">
        <v>5766</v>
      </c>
      <c r="H1808" s="1521">
        <v>0</v>
      </c>
      <c r="I1808" s="1521">
        <v>0</v>
      </c>
      <c r="J1808" s="1538">
        <v>0</v>
      </c>
      <c r="K1808" s="1525"/>
      <c r="L1808" s="1519">
        <v>13179010502</v>
      </c>
      <c r="M1808" s="1520">
        <v>0</v>
      </c>
      <c r="N1808" s="1520">
        <v>0</v>
      </c>
      <c r="O1808" s="1521">
        <v>0</v>
      </c>
    </row>
    <row r="1809" spans="3:15" ht="13.5">
      <c r="C1809" s="1526" t="s">
        <v>5767</v>
      </c>
      <c r="D1809" s="1523">
        <v>0</v>
      </c>
      <c r="E1809" s="1523">
        <v>0</v>
      </c>
      <c r="F1809" s="1524">
        <v>0</v>
      </c>
      <c r="G1809" s="1537" t="s">
        <v>5767</v>
      </c>
      <c r="H1809" s="1521">
        <v>0</v>
      </c>
      <c r="I1809" s="1521">
        <v>0</v>
      </c>
      <c r="J1809" s="1538">
        <v>0</v>
      </c>
      <c r="K1809" s="1525"/>
      <c r="L1809" s="1519">
        <v>13179010600</v>
      </c>
      <c r="M1809" s="1520">
        <v>0</v>
      </c>
      <c r="N1809" s="1520">
        <v>0</v>
      </c>
      <c r="O1809" s="1521">
        <v>0</v>
      </c>
    </row>
    <row r="1810" spans="3:15" ht="13.5">
      <c r="C1810" s="1526" t="s">
        <v>5768</v>
      </c>
      <c r="D1810" s="1523" t="s">
        <v>4096</v>
      </c>
      <c r="E1810" s="1523" t="s">
        <v>4096</v>
      </c>
      <c r="F1810" s="1524">
        <v>0</v>
      </c>
      <c r="G1810" s="1537" t="s">
        <v>5768</v>
      </c>
      <c r="H1810" s="1521" t="s">
        <v>4096</v>
      </c>
      <c r="I1810" s="1521" t="s">
        <v>4096</v>
      </c>
      <c r="J1810" s="1538">
        <v>0</v>
      </c>
      <c r="K1810" s="1525"/>
      <c r="L1810" s="1519">
        <v>13179990000</v>
      </c>
      <c r="M1810" s="1520">
        <v>0</v>
      </c>
      <c r="N1810" s="1520">
        <v>0</v>
      </c>
      <c r="O1810" s="1521">
        <v>0</v>
      </c>
    </row>
    <row r="1811" spans="3:15" ht="13.5">
      <c r="C1811" s="1526" t="s">
        <v>5769</v>
      </c>
      <c r="D1811" s="1523">
        <v>0</v>
      </c>
      <c r="E1811" s="1523">
        <v>0</v>
      </c>
      <c r="F1811" s="1524">
        <v>0</v>
      </c>
      <c r="G1811" s="1537" t="s">
        <v>5769</v>
      </c>
      <c r="H1811" s="1521">
        <v>0</v>
      </c>
      <c r="I1811" s="1521">
        <v>1</v>
      </c>
      <c r="J1811" s="1538">
        <v>1</v>
      </c>
      <c r="K1811" s="1525"/>
      <c r="L1811" s="1519">
        <v>13181970100</v>
      </c>
      <c r="M1811" s="1520">
        <v>0</v>
      </c>
      <c r="N1811" s="1520">
        <v>1</v>
      </c>
      <c r="O1811" s="1521">
        <v>1</v>
      </c>
    </row>
    <row r="1812" spans="3:15" ht="13.5">
      <c r="C1812" s="1526" t="s">
        <v>5770</v>
      </c>
      <c r="D1812" s="1523">
        <v>0</v>
      </c>
      <c r="E1812" s="1523">
        <v>0</v>
      </c>
      <c r="F1812" s="1524">
        <v>0</v>
      </c>
      <c r="G1812" s="1537" t="s">
        <v>5770</v>
      </c>
      <c r="H1812" s="1521">
        <v>0</v>
      </c>
      <c r="I1812" s="1521">
        <v>0</v>
      </c>
      <c r="J1812" s="1538">
        <v>0</v>
      </c>
      <c r="K1812" s="1525"/>
      <c r="L1812" s="1519">
        <v>13181970200</v>
      </c>
      <c r="M1812" s="1520">
        <v>0</v>
      </c>
      <c r="N1812" s="1520">
        <v>0</v>
      </c>
      <c r="O1812" s="1521">
        <v>0</v>
      </c>
    </row>
    <row r="1813" spans="3:15" ht="13.5">
      <c r="C1813" s="1526" t="s">
        <v>5771</v>
      </c>
      <c r="D1813" s="1523">
        <v>0</v>
      </c>
      <c r="E1813" s="1523">
        <v>0</v>
      </c>
      <c r="F1813" s="1524">
        <v>0</v>
      </c>
      <c r="G1813" s="1537" t="s">
        <v>5771</v>
      </c>
      <c r="H1813" s="1521">
        <v>0</v>
      </c>
      <c r="I1813" s="1521">
        <v>0</v>
      </c>
      <c r="J1813" s="1538">
        <v>0</v>
      </c>
      <c r="K1813" s="1525"/>
      <c r="L1813" s="1519">
        <v>13183970100</v>
      </c>
      <c r="M1813" s="1520">
        <v>0</v>
      </c>
      <c r="N1813" s="1520">
        <v>0</v>
      </c>
      <c r="O1813" s="1521">
        <v>0</v>
      </c>
    </row>
    <row r="1814" spans="3:15" ht="13.5">
      <c r="C1814" s="1526" t="s">
        <v>5772</v>
      </c>
      <c r="D1814" s="1523">
        <v>0</v>
      </c>
      <c r="E1814" s="1523">
        <v>0</v>
      </c>
      <c r="F1814" s="1524">
        <v>0</v>
      </c>
      <c r="G1814" s="1537" t="s">
        <v>5772</v>
      </c>
      <c r="H1814" s="1521">
        <v>0</v>
      </c>
      <c r="I1814" s="1521">
        <v>1</v>
      </c>
      <c r="J1814" s="1538">
        <v>1</v>
      </c>
      <c r="K1814" s="1525"/>
      <c r="L1814" s="1519">
        <v>13183970200</v>
      </c>
      <c r="M1814" s="1520">
        <v>0</v>
      </c>
      <c r="N1814" s="1520">
        <v>1</v>
      </c>
      <c r="O1814" s="1521">
        <v>1</v>
      </c>
    </row>
    <row r="1815" spans="3:15" ht="13.5">
      <c r="C1815" s="1526" t="s">
        <v>5773</v>
      </c>
      <c r="D1815" s="1523" t="s">
        <v>4096</v>
      </c>
      <c r="E1815" s="1523" t="s">
        <v>4096</v>
      </c>
      <c r="F1815" s="1524">
        <v>0</v>
      </c>
      <c r="G1815" s="1537" t="s">
        <v>5773</v>
      </c>
      <c r="H1815" s="1521" t="s">
        <v>4096</v>
      </c>
      <c r="I1815" s="1521" t="s">
        <v>4096</v>
      </c>
      <c r="J1815" s="1538">
        <v>0</v>
      </c>
      <c r="K1815" s="1525"/>
      <c r="L1815" s="1519">
        <v>13183980000</v>
      </c>
      <c r="M1815" s="1520">
        <v>0</v>
      </c>
      <c r="N1815" s="1520">
        <v>0</v>
      </c>
      <c r="O1815" s="1521">
        <v>0</v>
      </c>
    </row>
    <row r="1816" spans="3:15" ht="13.5">
      <c r="C1816" s="1526" t="s">
        <v>5774</v>
      </c>
      <c r="D1816" s="1523">
        <v>0</v>
      </c>
      <c r="E1816" s="1523">
        <v>1</v>
      </c>
      <c r="F1816" s="1524">
        <v>1</v>
      </c>
      <c r="G1816" s="1537" t="s">
        <v>5774</v>
      </c>
      <c r="H1816" s="1521">
        <v>0</v>
      </c>
      <c r="I1816" s="1521">
        <v>0</v>
      </c>
      <c r="J1816" s="1538">
        <v>0</v>
      </c>
      <c r="K1816" s="1525"/>
      <c r="L1816" s="1519">
        <v>13185010101</v>
      </c>
      <c r="M1816" s="1520">
        <v>0</v>
      </c>
      <c r="N1816" s="1520">
        <v>1</v>
      </c>
      <c r="O1816" s="1521">
        <v>1</v>
      </c>
    </row>
    <row r="1817" spans="3:15" ht="13.5">
      <c r="C1817" s="1526" t="s">
        <v>5775</v>
      </c>
      <c r="D1817" s="1523">
        <v>0</v>
      </c>
      <c r="E1817" s="1523">
        <v>1</v>
      </c>
      <c r="F1817" s="1524">
        <v>1</v>
      </c>
      <c r="G1817" s="1537" t="s">
        <v>5775</v>
      </c>
      <c r="H1817" s="1521">
        <v>0</v>
      </c>
      <c r="I1817" s="1521">
        <v>1</v>
      </c>
      <c r="J1817" s="1538">
        <v>1</v>
      </c>
      <c r="K1817" s="1525"/>
      <c r="L1817" s="1519">
        <v>13185010102</v>
      </c>
      <c r="M1817" s="1520">
        <v>0</v>
      </c>
      <c r="N1817" s="1520">
        <v>1</v>
      </c>
      <c r="O1817" s="1521">
        <v>1</v>
      </c>
    </row>
    <row r="1818" spans="3:15" ht="13.5">
      <c r="C1818" s="1526" t="s">
        <v>5776</v>
      </c>
      <c r="D1818" s="1523">
        <v>1</v>
      </c>
      <c r="E1818" s="1523">
        <v>1</v>
      </c>
      <c r="F1818" s="1524">
        <v>2</v>
      </c>
      <c r="G1818" s="1537" t="s">
        <v>5776</v>
      </c>
      <c r="H1818" s="1521">
        <v>1</v>
      </c>
      <c r="I1818" s="1521">
        <v>1</v>
      </c>
      <c r="J1818" s="1538">
        <v>2</v>
      </c>
      <c r="K1818" s="1525"/>
      <c r="L1818" s="1519">
        <v>13185010103</v>
      </c>
      <c r="M1818" s="1520">
        <v>1</v>
      </c>
      <c r="N1818" s="1520">
        <v>1</v>
      </c>
      <c r="O1818" s="1521">
        <v>2</v>
      </c>
    </row>
    <row r="1819" spans="3:15" ht="13.5">
      <c r="C1819" s="1526" t="s">
        <v>5777</v>
      </c>
      <c r="D1819" s="1523">
        <v>0</v>
      </c>
      <c r="E1819" s="1523">
        <v>1</v>
      </c>
      <c r="F1819" s="1524">
        <v>1</v>
      </c>
      <c r="G1819" s="1537" t="s">
        <v>5777</v>
      </c>
      <c r="H1819" s="1521">
        <v>0</v>
      </c>
      <c r="I1819" s="1521">
        <v>1</v>
      </c>
      <c r="J1819" s="1538">
        <v>1</v>
      </c>
      <c r="K1819" s="1525"/>
      <c r="L1819" s="1519">
        <v>13185010201</v>
      </c>
      <c r="M1819" s="1520">
        <v>0</v>
      </c>
      <c r="N1819" s="1520">
        <v>1</v>
      </c>
      <c r="O1819" s="1521">
        <v>1</v>
      </c>
    </row>
    <row r="1820" spans="3:15" ht="13.5">
      <c r="C1820" s="1526" t="s">
        <v>5778</v>
      </c>
      <c r="D1820" s="1523">
        <v>1</v>
      </c>
      <c r="E1820" s="1523">
        <v>1</v>
      </c>
      <c r="F1820" s="1524">
        <v>2</v>
      </c>
      <c r="G1820" s="1537" t="s">
        <v>5778</v>
      </c>
      <c r="H1820" s="1521">
        <v>1</v>
      </c>
      <c r="I1820" s="1521">
        <v>1</v>
      </c>
      <c r="J1820" s="1538">
        <v>2</v>
      </c>
      <c r="K1820" s="1525"/>
      <c r="L1820" s="1519">
        <v>13185010202</v>
      </c>
      <c r="M1820" s="1520">
        <v>1</v>
      </c>
      <c r="N1820" s="1520">
        <v>1</v>
      </c>
      <c r="O1820" s="1521">
        <v>2</v>
      </c>
    </row>
    <row r="1821" spans="3:15" ht="13.5">
      <c r="C1821" s="1526" t="s">
        <v>5779</v>
      </c>
      <c r="D1821" s="1523">
        <v>1</v>
      </c>
      <c r="E1821" s="1523">
        <v>1</v>
      </c>
      <c r="F1821" s="1524">
        <v>2</v>
      </c>
      <c r="G1821" s="1537" t="s">
        <v>5779</v>
      </c>
      <c r="H1821" s="1521">
        <v>1</v>
      </c>
      <c r="I1821" s="1521">
        <v>1</v>
      </c>
      <c r="J1821" s="1538">
        <v>2</v>
      </c>
      <c r="K1821" s="1525"/>
      <c r="L1821" s="1519">
        <v>13185010301</v>
      </c>
      <c r="M1821" s="1520">
        <v>1</v>
      </c>
      <c r="N1821" s="1520">
        <v>1</v>
      </c>
      <c r="O1821" s="1521">
        <v>2</v>
      </c>
    </row>
    <row r="1822" spans="3:15" ht="13.5">
      <c r="C1822" s="1526" t="s">
        <v>5780</v>
      </c>
      <c r="D1822" s="1523">
        <v>1</v>
      </c>
      <c r="E1822" s="1523">
        <v>1</v>
      </c>
      <c r="F1822" s="1524">
        <v>2</v>
      </c>
      <c r="G1822" s="1537" t="s">
        <v>5780</v>
      </c>
      <c r="H1822" s="1521">
        <v>1</v>
      </c>
      <c r="I1822" s="1521">
        <v>1</v>
      </c>
      <c r="J1822" s="1538">
        <v>2</v>
      </c>
      <c r="K1822" s="1525"/>
      <c r="L1822" s="1519">
        <v>13185010302</v>
      </c>
      <c r="M1822" s="1520">
        <v>1</v>
      </c>
      <c r="N1822" s="1520">
        <v>1</v>
      </c>
      <c r="O1822" s="1521">
        <v>2</v>
      </c>
    </row>
    <row r="1823" spans="3:15" ht="13.5">
      <c r="C1823" s="1526" t="s">
        <v>5781</v>
      </c>
      <c r="D1823" s="1523">
        <v>1</v>
      </c>
      <c r="E1823" s="1523">
        <v>1</v>
      </c>
      <c r="F1823" s="1524">
        <v>2</v>
      </c>
      <c r="G1823" s="1537" t="s">
        <v>5781</v>
      </c>
      <c r="H1823" s="1521">
        <v>1</v>
      </c>
      <c r="I1823" s="1521">
        <v>1</v>
      </c>
      <c r="J1823" s="1538">
        <v>2</v>
      </c>
      <c r="K1823" s="1525"/>
      <c r="L1823" s="1519">
        <v>13185010401</v>
      </c>
      <c r="M1823" s="1520">
        <v>1</v>
      </c>
      <c r="N1823" s="1520">
        <v>1</v>
      </c>
      <c r="O1823" s="1521">
        <v>2</v>
      </c>
    </row>
    <row r="1824" spans="3:15" ht="13.5">
      <c r="C1824" s="1526" t="s">
        <v>5782</v>
      </c>
      <c r="D1824" s="1523">
        <v>0</v>
      </c>
      <c r="E1824" s="1523">
        <v>0</v>
      </c>
      <c r="F1824" s="1524">
        <v>0</v>
      </c>
      <c r="G1824" s="1537" t="s">
        <v>5782</v>
      </c>
      <c r="H1824" s="1521">
        <v>0</v>
      </c>
      <c r="I1824" s="1521">
        <v>0</v>
      </c>
      <c r="J1824" s="1538">
        <v>0</v>
      </c>
      <c r="K1824" s="1525"/>
      <c r="L1824" s="1519">
        <v>13185010402</v>
      </c>
      <c r="M1824" s="1520">
        <v>0</v>
      </c>
      <c r="N1824" s="1520">
        <v>0</v>
      </c>
      <c r="O1824" s="1521">
        <v>0</v>
      </c>
    </row>
    <row r="1825" spans="3:15" ht="13.5">
      <c r="C1825" s="1526" t="s">
        <v>5783</v>
      </c>
      <c r="D1825" s="1523">
        <v>0</v>
      </c>
      <c r="E1825" s="1523">
        <v>0</v>
      </c>
      <c r="F1825" s="1524">
        <v>0</v>
      </c>
      <c r="G1825" s="1537" t="s">
        <v>5783</v>
      </c>
      <c r="H1825" s="1521">
        <v>0</v>
      </c>
      <c r="I1825" s="1521">
        <v>0</v>
      </c>
      <c r="J1825" s="1538">
        <v>0</v>
      </c>
      <c r="K1825" s="1525"/>
      <c r="L1825" s="1519">
        <v>13185010500</v>
      </c>
      <c r="M1825" s="1520">
        <v>0</v>
      </c>
      <c r="N1825" s="1520">
        <v>0</v>
      </c>
      <c r="O1825" s="1521">
        <v>0</v>
      </c>
    </row>
    <row r="1826" spans="3:15" ht="13.5">
      <c r="C1826" s="1526" t="s">
        <v>5784</v>
      </c>
      <c r="D1826" s="1523">
        <v>0</v>
      </c>
      <c r="E1826" s="1523">
        <v>0</v>
      </c>
      <c r="F1826" s="1524">
        <v>0</v>
      </c>
      <c r="G1826" s="1537" t="s">
        <v>5784</v>
      </c>
      <c r="H1826" s="1521">
        <v>0</v>
      </c>
      <c r="I1826" s="1521">
        <v>1</v>
      </c>
      <c r="J1826" s="1538">
        <v>1</v>
      </c>
      <c r="K1826" s="1525"/>
      <c r="L1826" s="1519">
        <v>13185010601</v>
      </c>
      <c r="M1826" s="1520">
        <v>0</v>
      </c>
      <c r="N1826" s="1520">
        <v>1</v>
      </c>
      <c r="O1826" s="1521">
        <v>1</v>
      </c>
    </row>
    <row r="1827" spans="3:15" ht="13.5">
      <c r="C1827" s="1526" t="s">
        <v>5785</v>
      </c>
      <c r="D1827" s="1523">
        <v>1</v>
      </c>
      <c r="E1827" s="1523">
        <v>1</v>
      </c>
      <c r="F1827" s="1524">
        <v>2</v>
      </c>
      <c r="G1827" s="1537" t="s">
        <v>5785</v>
      </c>
      <c r="H1827" s="1521">
        <v>1</v>
      </c>
      <c r="I1827" s="1521">
        <v>1</v>
      </c>
      <c r="J1827" s="1538">
        <v>2</v>
      </c>
      <c r="K1827" s="1525"/>
      <c r="L1827" s="1519">
        <v>13185010604</v>
      </c>
      <c r="M1827" s="1520">
        <v>1</v>
      </c>
      <c r="N1827" s="1520">
        <v>1</v>
      </c>
      <c r="O1827" s="1521">
        <v>2</v>
      </c>
    </row>
    <row r="1828" spans="3:15" ht="13.5">
      <c r="C1828" s="1526" t="s">
        <v>5786</v>
      </c>
      <c r="D1828" s="1523">
        <v>0</v>
      </c>
      <c r="E1828" s="1523">
        <v>0</v>
      </c>
      <c r="F1828" s="1524">
        <v>0</v>
      </c>
      <c r="G1828" s="1537" t="s">
        <v>5786</v>
      </c>
      <c r="H1828" s="1521">
        <v>0</v>
      </c>
      <c r="I1828" s="1521">
        <v>0</v>
      </c>
      <c r="J1828" s="1538">
        <v>0</v>
      </c>
      <c r="K1828" s="1525"/>
      <c r="L1828" s="1519">
        <v>13185010700</v>
      </c>
      <c r="M1828" s="1520">
        <v>0</v>
      </c>
      <c r="N1828" s="1520">
        <v>0</v>
      </c>
      <c r="O1828" s="1521">
        <v>0</v>
      </c>
    </row>
    <row r="1829" spans="3:15" ht="13.5">
      <c r="C1829" s="1526" t="s">
        <v>5787</v>
      </c>
      <c r="D1829" s="1523">
        <v>0</v>
      </c>
      <c r="E1829" s="1523">
        <v>0</v>
      </c>
      <c r="F1829" s="1524">
        <v>0</v>
      </c>
      <c r="G1829" s="1537" t="s">
        <v>5787</v>
      </c>
      <c r="H1829" s="1521">
        <v>0</v>
      </c>
      <c r="I1829" s="1521">
        <v>0</v>
      </c>
      <c r="J1829" s="1538">
        <v>0</v>
      </c>
      <c r="K1829" s="1525"/>
      <c r="L1829" s="1519">
        <v>13185010800</v>
      </c>
      <c r="M1829" s="1520">
        <v>0</v>
      </c>
      <c r="N1829" s="1520">
        <v>0</v>
      </c>
      <c r="O1829" s="1521">
        <v>0</v>
      </c>
    </row>
    <row r="1830" spans="3:15" ht="13.5">
      <c r="C1830" s="1526" t="s">
        <v>5788</v>
      </c>
      <c r="D1830" s="1523">
        <v>0</v>
      </c>
      <c r="E1830" s="1523">
        <v>0</v>
      </c>
      <c r="F1830" s="1524">
        <v>0</v>
      </c>
      <c r="G1830" s="1537" t="s">
        <v>5788</v>
      </c>
      <c r="H1830" s="1521">
        <v>0</v>
      </c>
      <c r="I1830" s="1521">
        <v>0</v>
      </c>
      <c r="J1830" s="1538">
        <v>0</v>
      </c>
      <c r="K1830" s="1525"/>
      <c r="L1830" s="1519">
        <v>13185010900</v>
      </c>
      <c r="M1830" s="1520">
        <v>0</v>
      </c>
      <c r="N1830" s="1520">
        <v>0</v>
      </c>
      <c r="O1830" s="1521">
        <v>0</v>
      </c>
    </row>
    <row r="1831" spans="3:15" ht="13.5">
      <c r="C1831" s="1526" t="s">
        <v>5789</v>
      </c>
      <c r="D1831" s="1523">
        <v>0</v>
      </c>
      <c r="E1831" s="1523">
        <v>0</v>
      </c>
      <c r="F1831" s="1524">
        <v>0</v>
      </c>
      <c r="G1831" s="1537" t="s">
        <v>5789</v>
      </c>
      <c r="H1831" s="1521">
        <v>0</v>
      </c>
      <c r="I1831" s="1521">
        <v>0</v>
      </c>
      <c r="J1831" s="1538">
        <v>0</v>
      </c>
      <c r="K1831" s="1525"/>
      <c r="L1831" s="1519">
        <v>13185011000</v>
      </c>
      <c r="M1831" s="1520">
        <v>0</v>
      </c>
      <c r="N1831" s="1520">
        <v>0</v>
      </c>
      <c r="O1831" s="1521">
        <v>0</v>
      </c>
    </row>
    <row r="1832" spans="3:15" ht="13.5">
      <c r="C1832" s="1526" t="s">
        <v>5790</v>
      </c>
      <c r="D1832" s="1523">
        <v>0</v>
      </c>
      <c r="E1832" s="1523">
        <v>0</v>
      </c>
      <c r="F1832" s="1524">
        <v>0</v>
      </c>
      <c r="G1832" s="1537" t="s">
        <v>5790</v>
      </c>
      <c r="H1832" s="1521">
        <v>0</v>
      </c>
      <c r="I1832" s="1521">
        <v>1</v>
      </c>
      <c r="J1832" s="1538">
        <v>1</v>
      </c>
      <c r="K1832" s="1525"/>
      <c r="L1832" s="1519">
        <v>13185011100</v>
      </c>
      <c r="M1832" s="1520">
        <v>0</v>
      </c>
      <c r="N1832" s="1520">
        <v>1</v>
      </c>
      <c r="O1832" s="1521">
        <v>1</v>
      </c>
    </row>
    <row r="1833" spans="3:15" ht="13.5">
      <c r="C1833" s="1526" t="s">
        <v>5791</v>
      </c>
      <c r="D1833" s="1523">
        <v>0</v>
      </c>
      <c r="E1833" s="1523">
        <v>0</v>
      </c>
      <c r="F1833" s="1524">
        <v>0</v>
      </c>
      <c r="G1833" s="1537" t="s">
        <v>5791</v>
      </c>
      <c r="H1833" s="1521">
        <v>0</v>
      </c>
      <c r="I1833" s="1521">
        <v>0</v>
      </c>
      <c r="J1833" s="1538">
        <v>0</v>
      </c>
      <c r="K1833" s="1525"/>
      <c r="L1833" s="1519">
        <v>13185011200</v>
      </c>
      <c r="M1833" s="1520">
        <v>0</v>
      </c>
      <c r="N1833" s="1520">
        <v>0</v>
      </c>
      <c r="O1833" s="1521">
        <v>0</v>
      </c>
    </row>
    <row r="1834" spans="3:15" ht="13.5">
      <c r="C1834" s="1526" t="s">
        <v>5792</v>
      </c>
      <c r="D1834" s="1523">
        <v>0</v>
      </c>
      <c r="E1834" s="1523">
        <v>0</v>
      </c>
      <c r="F1834" s="1524">
        <v>0</v>
      </c>
      <c r="G1834" s="1537" t="s">
        <v>5792</v>
      </c>
      <c r="H1834" s="1521">
        <v>0</v>
      </c>
      <c r="I1834" s="1521">
        <v>0</v>
      </c>
      <c r="J1834" s="1538">
        <v>0</v>
      </c>
      <c r="K1834" s="1525"/>
      <c r="L1834" s="1519">
        <v>13185011301</v>
      </c>
      <c r="M1834" s="1520">
        <v>0</v>
      </c>
      <c r="N1834" s="1520">
        <v>0</v>
      </c>
      <c r="O1834" s="1521">
        <v>0</v>
      </c>
    </row>
    <row r="1835" spans="3:15" ht="13.5">
      <c r="C1835" s="1526" t="s">
        <v>5793</v>
      </c>
      <c r="D1835" s="1523">
        <v>0</v>
      </c>
      <c r="E1835" s="1523">
        <v>0</v>
      </c>
      <c r="F1835" s="1524">
        <v>0</v>
      </c>
      <c r="G1835" s="1537" t="s">
        <v>5793</v>
      </c>
      <c r="H1835" s="1521">
        <v>0</v>
      </c>
      <c r="I1835" s="1521">
        <v>0</v>
      </c>
      <c r="J1835" s="1538">
        <v>0</v>
      </c>
      <c r="K1835" s="1525"/>
      <c r="L1835" s="1519">
        <v>13185011302</v>
      </c>
      <c r="M1835" s="1520">
        <v>0</v>
      </c>
      <c r="N1835" s="1520">
        <v>0</v>
      </c>
      <c r="O1835" s="1521">
        <v>0</v>
      </c>
    </row>
    <row r="1836" spans="3:15" ht="13.5">
      <c r="C1836" s="1526" t="s">
        <v>5794</v>
      </c>
      <c r="D1836" s="1523">
        <v>0</v>
      </c>
      <c r="E1836" s="1523">
        <v>0</v>
      </c>
      <c r="F1836" s="1524">
        <v>0</v>
      </c>
      <c r="G1836" s="1537" t="s">
        <v>5794</v>
      </c>
      <c r="H1836" s="1521">
        <v>0</v>
      </c>
      <c r="I1836" s="1521">
        <v>1</v>
      </c>
      <c r="J1836" s="1538">
        <v>1</v>
      </c>
      <c r="K1836" s="1525"/>
      <c r="L1836" s="1519">
        <v>13185011401</v>
      </c>
      <c r="M1836" s="1520">
        <v>0</v>
      </c>
      <c r="N1836" s="1520">
        <v>1</v>
      </c>
      <c r="O1836" s="1521">
        <v>1</v>
      </c>
    </row>
    <row r="1837" spans="3:15" ht="13.5">
      <c r="C1837" s="1526" t="s">
        <v>5795</v>
      </c>
      <c r="D1837" s="1523">
        <v>0</v>
      </c>
      <c r="E1837" s="1523">
        <v>0</v>
      </c>
      <c r="F1837" s="1524">
        <v>0</v>
      </c>
      <c r="G1837" s="1537" t="s">
        <v>5795</v>
      </c>
      <c r="H1837" s="1521">
        <v>0</v>
      </c>
      <c r="I1837" s="1521">
        <v>0</v>
      </c>
      <c r="J1837" s="1538">
        <v>0</v>
      </c>
      <c r="K1837" s="1525"/>
      <c r="L1837" s="1519">
        <v>13185011402</v>
      </c>
      <c r="M1837" s="1520">
        <v>0</v>
      </c>
      <c r="N1837" s="1520">
        <v>0</v>
      </c>
      <c r="O1837" s="1521">
        <v>0</v>
      </c>
    </row>
    <row r="1838" spans="3:15" ht="13.5">
      <c r="C1838" s="1526" t="s">
        <v>5796</v>
      </c>
      <c r="D1838" s="1523">
        <v>0</v>
      </c>
      <c r="E1838" s="1523">
        <v>0</v>
      </c>
      <c r="F1838" s="1524">
        <v>0</v>
      </c>
      <c r="G1838" s="1537" t="s">
        <v>5796</v>
      </c>
      <c r="H1838" s="1521">
        <v>0</v>
      </c>
      <c r="I1838" s="1521">
        <v>0</v>
      </c>
      <c r="J1838" s="1538">
        <v>0</v>
      </c>
      <c r="K1838" s="1525"/>
      <c r="L1838" s="1519">
        <v>13185011403</v>
      </c>
      <c r="M1838" s="1520">
        <v>0</v>
      </c>
      <c r="N1838" s="1520">
        <v>0</v>
      </c>
      <c r="O1838" s="1521">
        <v>0</v>
      </c>
    </row>
    <row r="1839" spans="3:15" ht="13.5">
      <c r="C1839" s="1526" t="s">
        <v>5797</v>
      </c>
      <c r="D1839" s="1523">
        <v>0</v>
      </c>
      <c r="E1839" s="1523">
        <v>0</v>
      </c>
      <c r="F1839" s="1524">
        <v>0</v>
      </c>
      <c r="G1839" s="1537" t="s">
        <v>5797</v>
      </c>
      <c r="H1839" s="1521">
        <v>0</v>
      </c>
      <c r="I1839" s="1521">
        <v>0</v>
      </c>
      <c r="J1839" s="1538">
        <v>0</v>
      </c>
      <c r="K1839" s="1525"/>
      <c r="L1839" s="1519">
        <v>13185011500</v>
      </c>
      <c r="M1839" s="1520">
        <v>0</v>
      </c>
      <c r="N1839" s="1520">
        <v>0</v>
      </c>
      <c r="O1839" s="1521">
        <v>0</v>
      </c>
    </row>
    <row r="1840" spans="3:15" ht="13.5">
      <c r="C1840" s="1526" t="s">
        <v>5798</v>
      </c>
      <c r="D1840" s="1523">
        <v>0</v>
      </c>
      <c r="E1840" s="1523">
        <v>1</v>
      </c>
      <c r="F1840" s="1524">
        <v>1</v>
      </c>
      <c r="G1840" s="1537" t="s">
        <v>5798</v>
      </c>
      <c r="H1840" s="1521">
        <v>0</v>
      </c>
      <c r="I1840" s="1521">
        <v>0</v>
      </c>
      <c r="J1840" s="1538">
        <v>0</v>
      </c>
      <c r="K1840" s="1525"/>
      <c r="L1840" s="1519">
        <v>13185011600</v>
      </c>
      <c r="M1840" s="1520">
        <v>0</v>
      </c>
      <c r="N1840" s="1520">
        <v>1</v>
      </c>
      <c r="O1840" s="1521">
        <v>1</v>
      </c>
    </row>
    <row r="1841" spans="3:15" ht="13.5">
      <c r="C1841" s="1526" t="s">
        <v>5799</v>
      </c>
      <c r="D1841" s="1523">
        <v>0</v>
      </c>
      <c r="E1841" s="1523">
        <v>0</v>
      </c>
      <c r="F1841" s="1524">
        <v>0</v>
      </c>
      <c r="G1841" s="1537" t="s">
        <v>5799</v>
      </c>
      <c r="H1841" s="1521">
        <v>1</v>
      </c>
      <c r="I1841" s="1521">
        <v>0</v>
      </c>
      <c r="J1841" s="1538">
        <v>1</v>
      </c>
      <c r="K1841" s="1525"/>
      <c r="L1841" s="1519">
        <v>13187960101</v>
      </c>
      <c r="M1841" s="1520">
        <v>1</v>
      </c>
      <c r="N1841" s="1520">
        <v>0</v>
      </c>
      <c r="O1841" s="1521">
        <v>1</v>
      </c>
    </row>
    <row r="1842" spans="3:15" ht="13.5">
      <c r="C1842" s="1526" t="s">
        <v>5800</v>
      </c>
      <c r="D1842" s="1523">
        <v>1</v>
      </c>
      <c r="E1842" s="1523">
        <v>1</v>
      </c>
      <c r="F1842" s="1524">
        <v>2</v>
      </c>
      <c r="G1842" s="1537" t="s">
        <v>5800</v>
      </c>
      <c r="H1842" s="1521">
        <v>1</v>
      </c>
      <c r="I1842" s="1521">
        <v>1</v>
      </c>
      <c r="J1842" s="1538">
        <v>2</v>
      </c>
      <c r="K1842" s="1525"/>
      <c r="L1842" s="1519">
        <v>13187960102</v>
      </c>
      <c r="M1842" s="1520">
        <v>1</v>
      </c>
      <c r="N1842" s="1520">
        <v>1</v>
      </c>
      <c r="O1842" s="1521">
        <v>2</v>
      </c>
    </row>
    <row r="1843" spans="3:15" ht="13.5">
      <c r="C1843" s="1526" t="s">
        <v>5801</v>
      </c>
      <c r="D1843" s="1523">
        <v>0</v>
      </c>
      <c r="E1843" s="1523">
        <v>1</v>
      </c>
      <c r="F1843" s="1524">
        <v>1</v>
      </c>
      <c r="G1843" s="1537" t="s">
        <v>5801</v>
      </c>
      <c r="H1843" s="1521">
        <v>0</v>
      </c>
      <c r="I1843" s="1521">
        <v>1</v>
      </c>
      <c r="J1843" s="1538">
        <v>1</v>
      </c>
      <c r="K1843" s="1525"/>
      <c r="L1843" s="1519">
        <v>13187960201</v>
      </c>
      <c r="M1843" s="1520">
        <v>0</v>
      </c>
      <c r="N1843" s="1520">
        <v>1</v>
      </c>
      <c r="O1843" s="1521">
        <v>1</v>
      </c>
    </row>
    <row r="1844" spans="3:15" ht="13.5">
      <c r="C1844" s="1526" t="s">
        <v>5802</v>
      </c>
      <c r="D1844" s="1523">
        <v>0</v>
      </c>
      <c r="E1844" s="1523">
        <v>0</v>
      </c>
      <c r="F1844" s="1524">
        <v>0</v>
      </c>
      <c r="G1844" s="1537" t="s">
        <v>5802</v>
      </c>
      <c r="H1844" s="1521">
        <v>0</v>
      </c>
      <c r="I1844" s="1521">
        <v>0</v>
      </c>
      <c r="J1844" s="1538">
        <v>0</v>
      </c>
      <c r="K1844" s="1525"/>
      <c r="L1844" s="1519">
        <v>13187960202</v>
      </c>
      <c r="M1844" s="1520">
        <v>0</v>
      </c>
      <c r="N1844" s="1520">
        <v>0</v>
      </c>
      <c r="O1844" s="1521">
        <v>0</v>
      </c>
    </row>
    <row r="1845" spans="3:15" ht="13.5">
      <c r="C1845" s="1526" t="s">
        <v>5803</v>
      </c>
      <c r="D1845" s="1523">
        <v>1</v>
      </c>
      <c r="E1845" s="1523">
        <v>1</v>
      </c>
      <c r="F1845" s="1524">
        <v>2</v>
      </c>
      <c r="G1845" s="1537" t="s">
        <v>5803</v>
      </c>
      <c r="H1845" s="1521">
        <v>1</v>
      </c>
      <c r="I1845" s="1521">
        <v>0</v>
      </c>
      <c r="J1845" s="1538">
        <v>1</v>
      </c>
      <c r="K1845" s="1525"/>
      <c r="L1845" s="1519">
        <v>13189950100</v>
      </c>
      <c r="M1845" s="1520">
        <v>1</v>
      </c>
      <c r="N1845" s="1520">
        <v>1</v>
      </c>
      <c r="O1845" s="1521">
        <v>2</v>
      </c>
    </row>
    <row r="1846" spans="3:15" ht="13.5">
      <c r="C1846" s="1526" t="s">
        <v>5804</v>
      </c>
      <c r="D1846" s="1523">
        <v>0</v>
      </c>
      <c r="E1846" s="1523">
        <v>0</v>
      </c>
      <c r="F1846" s="1524">
        <v>0</v>
      </c>
      <c r="G1846" s="1537" t="s">
        <v>5804</v>
      </c>
      <c r="H1846" s="1521">
        <v>0</v>
      </c>
      <c r="I1846" s="1521">
        <v>0</v>
      </c>
      <c r="J1846" s="1538">
        <v>0</v>
      </c>
      <c r="K1846" s="1525"/>
      <c r="L1846" s="1519">
        <v>13189950200</v>
      </c>
      <c r="M1846" s="1520">
        <v>0</v>
      </c>
      <c r="N1846" s="1520">
        <v>0</v>
      </c>
      <c r="O1846" s="1521">
        <v>0</v>
      </c>
    </row>
    <row r="1847" spans="3:15" ht="13.5">
      <c r="C1847" s="1526" t="s">
        <v>5805</v>
      </c>
      <c r="D1847" s="1523">
        <v>0</v>
      </c>
      <c r="E1847" s="1523">
        <v>0</v>
      </c>
      <c r="F1847" s="1524">
        <v>0</v>
      </c>
      <c r="G1847" s="1537" t="s">
        <v>5805</v>
      </c>
      <c r="H1847" s="1521">
        <v>0</v>
      </c>
      <c r="I1847" s="1521">
        <v>0</v>
      </c>
      <c r="J1847" s="1538">
        <v>0</v>
      </c>
      <c r="K1847" s="1525"/>
      <c r="L1847" s="1519">
        <v>13189950300</v>
      </c>
      <c r="M1847" s="1520">
        <v>0</v>
      </c>
      <c r="N1847" s="1520">
        <v>0</v>
      </c>
      <c r="O1847" s="1521">
        <v>0</v>
      </c>
    </row>
    <row r="1848" spans="3:15" ht="13.5">
      <c r="C1848" s="1526" t="s">
        <v>5806</v>
      </c>
      <c r="D1848" s="1523">
        <v>0</v>
      </c>
      <c r="E1848" s="1523">
        <v>0</v>
      </c>
      <c r="F1848" s="1524">
        <v>0</v>
      </c>
      <c r="G1848" s="1537" t="s">
        <v>5806</v>
      </c>
      <c r="H1848" s="1521">
        <v>0</v>
      </c>
      <c r="I1848" s="1521">
        <v>0</v>
      </c>
      <c r="J1848" s="1538">
        <v>0</v>
      </c>
      <c r="K1848" s="1525"/>
      <c r="L1848" s="1519">
        <v>13189950400</v>
      </c>
      <c r="M1848" s="1520">
        <v>0</v>
      </c>
      <c r="N1848" s="1520">
        <v>0</v>
      </c>
      <c r="O1848" s="1521">
        <v>0</v>
      </c>
    </row>
    <row r="1849" spans="3:15" ht="13.5">
      <c r="C1849" s="1526" t="s">
        <v>5807</v>
      </c>
      <c r="D1849" s="1523">
        <v>0</v>
      </c>
      <c r="E1849" s="1523">
        <v>0</v>
      </c>
      <c r="F1849" s="1524">
        <v>0</v>
      </c>
      <c r="G1849" s="1537" t="s">
        <v>5807</v>
      </c>
      <c r="H1849" s="1521">
        <v>0</v>
      </c>
      <c r="I1849" s="1521">
        <v>0</v>
      </c>
      <c r="J1849" s="1538">
        <v>0</v>
      </c>
      <c r="K1849" s="1525"/>
      <c r="L1849" s="1519">
        <v>13189950500</v>
      </c>
      <c r="M1849" s="1520">
        <v>0</v>
      </c>
      <c r="N1849" s="1520">
        <v>0</v>
      </c>
      <c r="O1849" s="1521">
        <v>0</v>
      </c>
    </row>
    <row r="1850" spans="3:15" ht="13.5">
      <c r="C1850" s="1526" t="s">
        <v>5808</v>
      </c>
      <c r="D1850" s="1523">
        <v>0</v>
      </c>
      <c r="E1850" s="1523">
        <v>0</v>
      </c>
      <c r="F1850" s="1524">
        <v>0</v>
      </c>
      <c r="G1850" s="1537" t="s">
        <v>5808</v>
      </c>
      <c r="H1850" s="1521">
        <v>0</v>
      </c>
      <c r="I1850" s="1521">
        <v>1</v>
      </c>
      <c r="J1850" s="1538">
        <v>1</v>
      </c>
      <c r="K1850" s="1525"/>
      <c r="L1850" s="1519">
        <v>13191110100</v>
      </c>
      <c r="M1850" s="1520">
        <v>0</v>
      </c>
      <c r="N1850" s="1520">
        <v>1</v>
      </c>
      <c r="O1850" s="1521">
        <v>1</v>
      </c>
    </row>
    <row r="1851" spans="3:15" ht="13.5">
      <c r="C1851" s="1526" t="s">
        <v>5809</v>
      </c>
      <c r="D1851" s="1523">
        <v>0</v>
      </c>
      <c r="E1851" s="1523">
        <v>0</v>
      </c>
      <c r="F1851" s="1524">
        <v>0</v>
      </c>
      <c r="G1851" s="1537" t="s">
        <v>5809</v>
      </c>
      <c r="H1851" s="1521">
        <v>0</v>
      </c>
      <c r="I1851" s="1521">
        <v>0</v>
      </c>
      <c r="J1851" s="1538">
        <v>0</v>
      </c>
      <c r="K1851" s="1525"/>
      <c r="L1851" s="1519">
        <v>13191110200</v>
      </c>
      <c r="M1851" s="1520">
        <v>0</v>
      </c>
      <c r="N1851" s="1520">
        <v>0</v>
      </c>
      <c r="O1851" s="1521">
        <v>0</v>
      </c>
    </row>
    <row r="1852" spans="3:15" ht="13.5">
      <c r="C1852" s="1526" t="s">
        <v>5810</v>
      </c>
      <c r="D1852" s="1523">
        <v>0</v>
      </c>
      <c r="E1852" s="1523">
        <v>0</v>
      </c>
      <c r="F1852" s="1524">
        <v>0</v>
      </c>
      <c r="G1852" s="1537" t="s">
        <v>5810</v>
      </c>
      <c r="H1852" s="1521">
        <v>0</v>
      </c>
      <c r="I1852" s="1521">
        <v>0</v>
      </c>
      <c r="J1852" s="1538">
        <v>0</v>
      </c>
      <c r="K1852" s="1525"/>
      <c r="L1852" s="1519">
        <v>13191110300</v>
      </c>
      <c r="M1852" s="1520">
        <v>0</v>
      </c>
      <c r="N1852" s="1520">
        <v>0</v>
      </c>
      <c r="O1852" s="1521">
        <v>0</v>
      </c>
    </row>
    <row r="1853" spans="3:15" ht="13.5">
      <c r="C1853" s="1526" t="s">
        <v>5811</v>
      </c>
      <c r="D1853" s="1523" t="s">
        <v>4096</v>
      </c>
      <c r="E1853" s="1523" t="s">
        <v>4096</v>
      </c>
      <c r="F1853" s="1524">
        <v>0</v>
      </c>
      <c r="G1853" s="1537" t="s">
        <v>5811</v>
      </c>
      <c r="H1853" s="1521" t="s">
        <v>4096</v>
      </c>
      <c r="I1853" s="1521" t="s">
        <v>4096</v>
      </c>
      <c r="J1853" s="1538">
        <v>0</v>
      </c>
      <c r="K1853" s="1525"/>
      <c r="L1853" s="1519">
        <v>13191980000</v>
      </c>
      <c r="M1853" s="1520">
        <v>0</v>
      </c>
      <c r="N1853" s="1520">
        <v>0</v>
      </c>
      <c r="O1853" s="1521">
        <v>0</v>
      </c>
    </row>
    <row r="1854" spans="3:15" ht="13.5">
      <c r="C1854" s="1526" t="s">
        <v>5812</v>
      </c>
      <c r="D1854" s="1523" t="s">
        <v>4096</v>
      </c>
      <c r="E1854" s="1523" t="s">
        <v>4096</v>
      </c>
      <c r="F1854" s="1524">
        <v>0</v>
      </c>
      <c r="G1854" s="1537" t="s">
        <v>5812</v>
      </c>
      <c r="H1854" s="1521" t="s">
        <v>4096</v>
      </c>
      <c r="I1854" s="1521" t="s">
        <v>4096</v>
      </c>
      <c r="J1854" s="1538">
        <v>0</v>
      </c>
      <c r="K1854" s="1525"/>
      <c r="L1854" s="1519">
        <v>13191990000</v>
      </c>
      <c r="M1854" s="1520">
        <v>0</v>
      </c>
      <c r="N1854" s="1520">
        <v>0</v>
      </c>
      <c r="O1854" s="1521">
        <v>0</v>
      </c>
    </row>
    <row r="1855" spans="3:15" ht="13.5">
      <c r="C1855" s="1526" t="s">
        <v>5813</v>
      </c>
      <c r="D1855" s="1523">
        <v>0</v>
      </c>
      <c r="E1855" s="1523">
        <v>0</v>
      </c>
      <c r="F1855" s="1524">
        <v>0</v>
      </c>
      <c r="G1855" s="1537" t="s">
        <v>5813</v>
      </c>
      <c r="H1855" s="1521">
        <v>0</v>
      </c>
      <c r="I1855" s="1521" t="s">
        <v>4096</v>
      </c>
      <c r="J1855" s="1538">
        <v>0</v>
      </c>
      <c r="K1855" s="1525"/>
      <c r="L1855" s="1519">
        <v>13193000100</v>
      </c>
      <c r="M1855" s="1520">
        <v>0</v>
      </c>
      <c r="N1855" s="1520">
        <v>0</v>
      </c>
      <c r="O1855" s="1521">
        <v>0</v>
      </c>
    </row>
    <row r="1856" spans="3:15" ht="13.5">
      <c r="C1856" s="1526" t="s">
        <v>5814</v>
      </c>
      <c r="D1856" s="1523">
        <v>0</v>
      </c>
      <c r="E1856" s="1523">
        <v>0</v>
      </c>
      <c r="F1856" s="1524">
        <v>0</v>
      </c>
      <c r="G1856" s="1537" t="s">
        <v>5814</v>
      </c>
      <c r="H1856" s="1521">
        <v>0</v>
      </c>
      <c r="I1856" s="1521">
        <v>0</v>
      </c>
      <c r="J1856" s="1538">
        <v>0</v>
      </c>
      <c r="K1856" s="1525"/>
      <c r="L1856" s="1519">
        <v>13193000200</v>
      </c>
      <c r="M1856" s="1520">
        <v>0</v>
      </c>
      <c r="N1856" s="1520">
        <v>0</v>
      </c>
      <c r="O1856" s="1521">
        <v>0</v>
      </c>
    </row>
    <row r="1857" spans="3:15" ht="13.5">
      <c r="C1857" s="1526" t="s">
        <v>5815</v>
      </c>
      <c r="D1857" s="1523">
        <v>0</v>
      </c>
      <c r="E1857" s="1523">
        <v>0</v>
      </c>
      <c r="F1857" s="1524">
        <v>0</v>
      </c>
      <c r="G1857" s="1537" t="s">
        <v>5815</v>
      </c>
      <c r="H1857" s="1521">
        <v>0</v>
      </c>
      <c r="I1857" s="1521">
        <v>1</v>
      </c>
      <c r="J1857" s="1538">
        <v>1</v>
      </c>
      <c r="K1857" s="1525"/>
      <c r="L1857" s="1519">
        <v>13193000300</v>
      </c>
      <c r="M1857" s="1520">
        <v>0</v>
      </c>
      <c r="N1857" s="1520">
        <v>1</v>
      </c>
      <c r="O1857" s="1521">
        <v>1</v>
      </c>
    </row>
    <row r="1858" spans="3:15" ht="13.5">
      <c r="C1858" s="1526" t="s">
        <v>5816</v>
      </c>
      <c r="D1858" s="1523">
        <v>0</v>
      </c>
      <c r="E1858" s="1523">
        <v>0</v>
      </c>
      <c r="F1858" s="1524">
        <v>0</v>
      </c>
      <c r="G1858" s="1537" t="s">
        <v>5816</v>
      </c>
      <c r="H1858" s="1521">
        <v>0</v>
      </c>
      <c r="I1858" s="1521">
        <v>0</v>
      </c>
      <c r="J1858" s="1538">
        <v>0</v>
      </c>
      <c r="K1858" s="1525"/>
      <c r="L1858" s="1519">
        <v>13193000400</v>
      </c>
      <c r="M1858" s="1520">
        <v>0</v>
      </c>
      <c r="N1858" s="1520">
        <v>0</v>
      </c>
      <c r="O1858" s="1521">
        <v>0</v>
      </c>
    </row>
    <row r="1859" spans="3:15" ht="13.5">
      <c r="C1859" s="1526" t="s">
        <v>5817</v>
      </c>
      <c r="D1859" s="1523">
        <v>0</v>
      </c>
      <c r="E1859" s="1523">
        <v>0</v>
      </c>
      <c r="F1859" s="1524">
        <v>0</v>
      </c>
      <c r="G1859" s="1537" t="s">
        <v>5817</v>
      </c>
      <c r="H1859" s="1521">
        <v>0</v>
      </c>
      <c r="I1859" s="1521">
        <v>0</v>
      </c>
      <c r="J1859" s="1538">
        <v>0</v>
      </c>
      <c r="K1859" s="1525"/>
      <c r="L1859" s="1519">
        <v>13195020100</v>
      </c>
      <c r="M1859" s="1520">
        <v>0</v>
      </c>
      <c r="N1859" s="1520">
        <v>0</v>
      </c>
      <c r="O1859" s="1521">
        <v>0</v>
      </c>
    </row>
    <row r="1860" spans="3:15" ht="13.5">
      <c r="C1860" s="1526" t="s">
        <v>5818</v>
      </c>
      <c r="D1860" s="1523">
        <v>0</v>
      </c>
      <c r="E1860" s="1523">
        <v>0</v>
      </c>
      <c r="F1860" s="1524">
        <v>0</v>
      </c>
      <c r="G1860" s="1537" t="s">
        <v>5818</v>
      </c>
      <c r="H1860" s="1521">
        <v>0</v>
      </c>
      <c r="I1860" s="1521">
        <v>0</v>
      </c>
      <c r="J1860" s="1538">
        <v>0</v>
      </c>
      <c r="K1860" s="1525"/>
      <c r="L1860" s="1519">
        <v>13195020200</v>
      </c>
      <c r="M1860" s="1520">
        <v>0</v>
      </c>
      <c r="N1860" s="1520">
        <v>0</v>
      </c>
      <c r="O1860" s="1521">
        <v>0</v>
      </c>
    </row>
    <row r="1861" spans="3:15" ht="13.5">
      <c r="C1861" s="1526" t="s">
        <v>5819</v>
      </c>
      <c r="D1861" s="1523">
        <v>0</v>
      </c>
      <c r="E1861" s="1523">
        <v>0</v>
      </c>
      <c r="F1861" s="1524">
        <v>0</v>
      </c>
      <c r="G1861" s="1537" t="s">
        <v>5819</v>
      </c>
      <c r="H1861" s="1521">
        <v>0</v>
      </c>
      <c r="I1861" s="1521">
        <v>0</v>
      </c>
      <c r="J1861" s="1538">
        <v>0</v>
      </c>
      <c r="K1861" s="1525"/>
      <c r="L1861" s="1519">
        <v>13195020300</v>
      </c>
      <c r="M1861" s="1520">
        <v>0</v>
      </c>
      <c r="N1861" s="1520">
        <v>0</v>
      </c>
      <c r="O1861" s="1521">
        <v>0</v>
      </c>
    </row>
    <row r="1862" spans="3:15" ht="13.5">
      <c r="C1862" s="1526" t="s">
        <v>5820</v>
      </c>
      <c r="D1862" s="1523">
        <v>1</v>
      </c>
      <c r="E1862" s="1523">
        <v>1</v>
      </c>
      <c r="F1862" s="1524">
        <v>2</v>
      </c>
      <c r="G1862" s="1537" t="s">
        <v>5820</v>
      </c>
      <c r="H1862" s="1521">
        <v>0</v>
      </c>
      <c r="I1862" s="1521">
        <v>0</v>
      </c>
      <c r="J1862" s="1538">
        <v>0</v>
      </c>
      <c r="K1862" s="1525"/>
      <c r="L1862" s="1519">
        <v>13195020400</v>
      </c>
      <c r="M1862" s="1520">
        <v>1</v>
      </c>
      <c r="N1862" s="1520">
        <v>1</v>
      </c>
      <c r="O1862" s="1521">
        <v>2</v>
      </c>
    </row>
    <row r="1863" spans="3:15" ht="13.5">
      <c r="C1863" s="1526" t="s">
        <v>5821</v>
      </c>
      <c r="D1863" s="1523">
        <v>0</v>
      </c>
      <c r="E1863" s="1523">
        <v>1</v>
      </c>
      <c r="F1863" s="1524">
        <v>1</v>
      </c>
      <c r="G1863" s="1537" t="s">
        <v>5821</v>
      </c>
      <c r="H1863" s="1521">
        <v>0</v>
      </c>
      <c r="I1863" s="1521">
        <v>0</v>
      </c>
      <c r="J1863" s="1538">
        <v>0</v>
      </c>
      <c r="K1863" s="1525"/>
      <c r="L1863" s="1519">
        <v>13195020500</v>
      </c>
      <c r="M1863" s="1520">
        <v>0</v>
      </c>
      <c r="N1863" s="1520">
        <v>1</v>
      </c>
      <c r="O1863" s="1521">
        <v>1</v>
      </c>
    </row>
    <row r="1864" spans="3:15" ht="13.5">
      <c r="C1864" s="1526" t="s">
        <v>5822</v>
      </c>
      <c r="D1864" s="1523">
        <v>1</v>
      </c>
      <c r="E1864" s="1523">
        <v>0</v>
      </c>
      <c r="F1864" s="1524">
        <v>1</v>
      </c>
      <c r="G1864" s="1537" t="s">
        <v>5822</v>
      </c>
      <c r="H1864" s="1521">
        <v>0</v>
      </c>
      <c r="I1864" s="1521">
        <v>0</v>
      </c>
      <c r="J1864" s="1538">
        <v>0</v>
      </c>
      <c r="K1864" s="1525"/>
      <c r="L1864" s="1519">
        <v>13195020600</v>
      </c>
      <c r="M1864" s="1520">
        <v>1</v>
      </c>
      <c r="N1864" s="1520">
        <v>0</v>
      </c>
      <c r="O1864" s="1521">
        <v>1</v>
      </c>
    </row>
    <row r="1865" spans="3:15" ht="13.5">
      <c r="C1865" s="1526" t="s">
        <v>5823</v>
      </c>
      <c r="D1865" s="1523">
        <v>0</v>
      </c>
      <c r="E1865" s="1523">
        <v>0</v>
      </c>
      <c r="F1865" s="1524">
        <v>0</v>
      </c>
      <c r="G1865" s="1537" t="s">
        <v>5823</v>
      </c>
      <c r="H1865" s="1521">
        <v>0</v>
      </c>
      <c r="I1865" s="1521">
        <v>0</v>
      </c>
      <c r="J1865" s="1538">
        <v>0</v>
      </c>
      <c r="K1865" s="1525"/>
      <c r="L1865" s="1519">
        <v>13197920100</v>
      </c>
      <c r="M1865" s="1520">
        <v>0</v>
      </c>
      <c r="N1865" s="1520">
        <v>0</v>
      </c>
      <c r="O1865" s="1521">
        <v>0</v>
      </c>
    </row>
    <row r="1866" spans="3:15" ht="13.5">
      <c r="C1866" s="1526" t="s">
        <v>5824</v>
      </c>
      <c r="D1866" s="1523">
        <v>0</v>
      </c>
      <c r="E1866" s="1523">
        <v>0</v>
      </c>
      <c r="F1866" s="1524">
        <v>0</v>
      </c>
      <c r="G1866" s="1537" t="s">
        <v>5824</v>
      </c>
      <c r="H1866" s="1521">
        <v>0</v>
      </c>
      <c r="I1866" s="1521">
        <v>0</v>
      </c>
      <c r="J1866" s="1538">
        <v>0</v>
      </c>
      <c r="K1866" s="1525"/>
      <c r="L1866" s="1519">
        <v>13197920200</v>
      </c>
      <c r="M1866" s="1520">
        <v>0</v>
      </c>
      <c r="N1866" s="1520">
        <v>0</v>
      </c>
      <c r="O1866" s="1521">
        <v>0</v>
      </c>
    </row>
    <row r="1867" spans="3:15" ht="13.5">
      <c r="C1867" s="1526" t="s">
        <v>5825</v>
      </c>
      <c r="D1867" s="1523">
        <v>0</v>
      </c>
      <c r="E1867" s="1523">
        <v>0</v>
      </c>
      <c r="F1867" s="1524">
        <v>0</v>
      </c>
      <c r="G1867" s="1537" t="s">
        <v>5825</v>
      </c>
      <c r="H1867" s="1521">
        <v>0</v>
      </c>
      <c r="I1867" s="1521">
        <v>0</v>
      </c>
      <c r="J1867" s="1538">
        <v>0</v>
      </c>
      <c r="K1867" s="1525"/>
      <c r="L1867" s="1519">
        <v>13199970500</v>
      </c>
      <c r="M1867" s="1520">
        <v>0</v>
      </c>
      <c r="N1867" s="1520">
        <v>0</v>
      </c>
      <c r="O1867" s="1521">
        <v>0</v>
      </c>
    </row>
    <row r="1868" spans="3:15" ht="13.5">
      <c r="C1868" s="1526" t="s">
        <v>5826</v>
      </c>
      <c r="D1868" s="1523">
        <v>0</v>
      </c>
      <c r="E1868" s="1523">
        <v>0</v>
      </c>
      <c r="F1868" s="1524">
        <v>0</v>
      </c>
      <c r="G1868" s="1537" t="s">
        <v>5826</v>
      </c>
      <c r="H1868" s="1521">
        <v>0</v>
      </c>
      <c r="I1868" s="1521">
        <v>0</v>
      </c>
      <c r="J1868" s="1538">
        <v>0</v>
      </c>
      <c r="K1868" s="1525"/>
      <c r="L1868" s="1519">
        <v>13199970600</v>
      </c>
      <c r="M1868" s="1520">
        <v>0</v>
      </c>
      <c r="N1868" s="1520">
        <v>0</v>
      </c>
      <c r="O1868" s="1521">
        <v>0</v>
      </c>
    </row>
    <row r="1869" spans="3:15" ht="13.5">
      <c r="C1869" s="1526" t="s">
        <v>5827</v>
      </c>
      <c r="D1869" s="1523">
        <v>0</v>
      </c>
      <c r="E1869" s="1523">
        <v>0</v>
      </c>
      <c r="F1869" s="1524">
        <v>0</v>
      </c>
      <c r="G1869" s="1537" t="s">
        <v>5827</v>
      </c>
      <c r="H1869" s="1521">
        <v>0</v>
      </c>
      <c r="I1869" s="1521">
        <v>0</v>
      </c>
      <c r="J1869" s="1538">
        <v>0</v>
      </c>
      <c r="K1869" s="1525"/>
      <c r="L1869" s="1519">
        <v>13199970700</v>
      </c>
      <c r="M1869" s="1520">
        <v>0</v>
      </c>
      <c r="N1869" s="1520">
        <v>0</v>
      </c>
      <c r="O1869" s="1521">
        <v>0</v>
      </c>
    </row>
    <row r="1870" spans="3:15" ht="13.5">
      <c r="C1870" s="1526" t="s">
        <v>5828</v>
      </c>
      <c r="D1870" s="1523">
        <v>0</v>
      </c>
      <c r="E1870" s="1523">
        <v>0</v>
      </c>
      <c r="F1870" s="1524">
        <v>0</v>
      </c>
      <c r="G1870" s="1537" t="s">
        <v>5828</v>
      </c>
      <c r="H1870" s="1521">
        <v>0</v>
      </c>
      <c r="I1870" s="1521">
        <v>0</v>
      </c>
      <c r="J1870" s="1538">
        <v>0</v>
      </c>
      <c r="K1870" s="1525"/>
      <c r="L1870" s="1519">
        <v>13199970800</v>
      </c>
      <c r="M1870" s="1520">
        <v>0</v>
      </c>
      <c r="N1870" s="1520">
        <v>0</v>
      </c>
      <c r="O1870" s="1521">
        <v>0</v>
      </c>
    </row>
    <row r="1871" spans="3:15" ht="13.5">
      <c r="C1871" s="1526" t="s">
        <v>5829</v>
      </c>
      <c r="D1871" s="1523">
        <v>0</v>
      </c>
      <c r="E1871" s="1523">
        <v>0</v>
      </c>
      <c r="F1871" s="1524">
        <v>0</v>
      </c>
      <c r="G1871" s="1537" t="s">
        <v>5829</v>
      </c>
      <c r="H1871" s="1521">
        <v>0</v>
      </c>
      <c r="I1871" s="1521">
        <v>0</v>
      </c>
      <c r="J1871" s="1538">
        <v>0</v>
      </c>
      <c r="K1871" s="1525"/>
      <c r="L1871" s="1519">
        <v>13201950100</v>
      </c>
      <c r="M1871" s="1520">
        <v>0</v>
      </c>
      <c r="N1871" s="1520">
        <v>0</v>
      </c>
      <c r="O1871" s="1521">
        <v>0</v>
      </c>
    </row>
    <row r="1872" spans="3:15" ht="13.5">
      <c r="C1872" s="1526" t="s">
        <v>5830</v>
      </c>
      <c r="D1872" s="1523">
        <v>0</v>
      </c>
      <c r="E1872" s="1523">
        <v>0</v>
      </c>
      <c r="F1872" s="1524">
        <v>0</v>
      </c>
      <c r="G1872" s="1537" t="s">
        <v>5830</v>
      </c>
      <c r="H1872" s="1521">
        <v>0</v>
      </c>
      <c r="I1872" s="1521">
        <v>0</v>
      </c>
      <c r="J1872" s="1538">
        <v>0</v>
      </c>
      <c r="K1872" s="1525"/>
      <c r="L1872" s="1519">
        <v>13201950200</v>
      </c>
      <c r="M1872" s="1520">
        <v>0</v>
      </c>
      <c r="N1872" s="1520">
        <v>0</v>
      </c>
      <c r="O1872" s="1521">
        <v>0</v>
      </c>
    </row>
    <row r="1873" spans="3:15" ht="13.5">
      <c r="C1873" s="1526" t="s">
        <v>5831</v>
      </c>
      <c r="D1873" s="1523">
        <v>1</v>
      </c>
      <c r="E1873" s="1523">
        <v>0</v>
      </c>
      <c r="F1873" s="1524">
        <v>1</v>
      </c>
      <c r="G1873" s="1537" t="s">
        <v>5831</v>
      </c>
      <c r="H1873" s="1521">
        <v>1</v>
      </c>
      <c r="I1873" s="1521">
        <v>1</v>
      </c>
      <c r="J1873" s="1538">
        <v>2</v>
      </c>
      <c r="K1873" s="1525"/>
      <c r="L1873" s="1519">
        <v>13201950300</v>
      </c>
      <c r="M1873" s="1520">
        <v>1</v>
      </c>
      <c r="N1873" s="1520">
        <v>1</v>
      </c>
      <c r="O1873" s="1521">
        <v>2</v>
      </c>
    </row>
    <row r="1874" spans="3:15" ht="13.5">
      <c r="C1874" s="1526" t="s">
        <v>5832</v>
      </c>
      <c r="D1874" s="1523">
        <v>0</v>
      </c>
      <c r="E1874" s="1523">
        <v>0</v>
      </c>
      <c r="F1874" s="1524">
        <v>0</v>
      </c>
      <c r="G1874" s="1537" t="s">
        <v>5832</v>
      </c>
      <c r="H1874" s="1521">
        <v>0</v>
      </c>
      <c r="I1874" s="1521">
        <v>0</v>
      </c>
      <c r="J1874" s="1538">
        <v>0</v>
      </c>
      <c r="K1874" s="1525"/>
      <c r="L1874" s="1519">
        <v>13205090100</v>
      </c>
      <c r="M1874" s="1520">
        <v>0</v>
      </c>
      <c r="N1874" s="1520">
        <v>0</v>
      </c>
      <c r="O1874" s="1521">
        <v>0</v>
      </c>
    </row>
    <row r="1875" spans="3:15" ht="13.5">
      <c r="C1875" s="1526" t="s">
        <v>5833</v>
      </c>
      <c r="D1875" s="1523">
        <v>0</v>
      </c>
      <c r="E1875" s="1523">
        <v>0</v>
      </c>
      <c r="F1875" s="1524">
        <v>0</v>
      </c>
      <c r="G1875" s="1537" t="s">
        <v>5833</v>
      </c>
      <c r="H1875" s="1521">
        <v>0</v>
      </c>
      <c r="I1875" s="1521">
        <v>0</v>
      </c>
      <c r="J1875" s="1538">
        <v>0</v>
      </c>
      <c r="K1875" s="1525"/>
      <c r="L1875" s="1519">
        <v>13205090200</v>
      </c>
      <c r="M1875" s="1520">
        <v>0</v>
      </c>
      <c r="N1875" s="1520">
        <v>0</v>
      </c>
      <c r="O1875" s="1521">
        <v>0</v>
      </c>
    </row>
    <row r="1876" spans="3:15" ht="13.5">
      <c r="C1876" s="1526" t="s">
        <v>5834</v>
      </c>
      <c r="D1876" s="1523">
        <v>0</v>
      </c>
      <c r="E1876" s="1523">
        <v>0</v>
      </c>
      <c r="F1876" s="1524">
        <v>0</v>
      </c>
      <c r="G1876" s="1537" t="s">
        <v>5834</v>
      </c>
      <c r="H1876" s="1521">
        <v>0</v>
      </c>
      <c r="I1876" s="1521">
        <v>0</v>
      </c>
      <c r="J1876" s="1538">
        <v>0</v>
      </c>
      <c r="K1876" s="1525"/>
      <c r="L1876" s="1519">
        <v>13205090300</v>
      </c>
      <c r="M1876" s="1520">
        <v>0</v>
      </c>
      <c r="N1876" s="1520">
        <v>0</v>
      </c>
      <c r="O1876" s="1521">
        <v>0</v>
      </c>
    </row>
    <row r="1877" spans="3:15" ht="13.5">
      <c r="C1877" s="1526" t="s">
        <v>5835</v>
      </c>
      <c r="D1877" s="1523">
        <v>0</v>
      </c>
      <c r="E1877" s="1523">
        <v>0</v>
      </c>
      <c r="F1877" s="1524">
        <v>0</v>
      </c>
      <c r="G1877" s="1537" t="s">
        <v>5835</v>
      </c>
      <c r="H1877" s="1521">
        <v>0</v>
      </c>
      <c r="I1877" s="1521">
        <v>0</v>
      </c>
      <c r="J1877" s="1538">
        <v>0</v>
      </c>
      <c r="K1877" s="1525"/>
      <c r="L1877" s="1519">
        <v>13205090400</v>
      </c>
      <c r="M1877" s="1520">
        <v>0</v>
      </c>
      <c r="N1877" s="1520">
        <v>0</v>
      </c>
      <c r="O1877" s="1521">
        <v>0</v>
      </c>
    </row>
    <row r="1878" spans="3:15" ht="13.5">
      <c r="C1878" s="1526" t="s">
        <v>5836</v>
      </c>
      <c r="D1878" s="1523">
        <v>0</v>
      </c>
      <c r="E1878" s="1523">
        <v>0</v>
      </c>
      <c r="F1878" s="1524">
        <v>0</v>
      </c>
      <c r="G1878" s="1537" t="s">
        <v>5836</v>
      </c>
      <c r="H1878" s="1521">
        <v>0</v>
      </c>
      <c r="I1878" s="1521">
        <v>0</v>
      </c>
      <c r="J1878" s="1538">
        <v>0</v>
      </c>
      <c r="K1878" s="1525"/>
      <c r="L1878" s="1519">
        <v>13205090500</v>
      </c>
      <c r="M1878" s="1520">
        <v>0</v>
      </c>
      <c r="N1878" s="1520">
        <v>0</v>
      </c>
      <c r="O1878" s="1521">
        <v>0</v>
      </c>
    </row>
    <row r="1879" spans="3:15" ht="13.5">
      <c r="C1879" s="1526" t="s">
        <v>5837</v>
      </c>
      <c r="D1879" s="1523">
        <v>0</v>
      </c>
      <c r="E1879" s="1523">
        <v>0</v>
      </c>
      <c r="F1879" s="1524">
        <v>0</v>
      </c>
      <c r="G1879" s="1537" t="s">
        <v>5837</v>
      </c>
      <c r="H1879" s="1521">
        <v>0</v>
      </c>
      <c r="I1879" s="1521">
        <v>0</v>
      </c>
      <c r="J1879" s="1538">
        <v>0</v>
      </c>
      <c r="K1879" s="1525"/>
      <c r="L1879" s="1519">
        <v>13207050101</v>
      </c>
      <c r="M1879" s="1520">
        <v>0</v>
      </c>
      <c r="N1879" s="1520">
        <v>0</v>
      </c>
      <c r="O1879" s="1521">
        <v>0</v>
      </c>
    </row>
    <row r="1880" spans="3:15" ht="13.5">
      <c r="C1880" s="1526" t="s">
        <v>5838</v>
      </c>
      <c r="D1880" s="1523">
        <v>0</v>
      </c>
      <c r="E1880" s="1523">
        <v>0</v>
      </c>
      <c r="F1880" s="1524">
        <v>0</v>
      </c>
      <c r="G1880" s="1537" t="s">
        <v>5838</v>
      </c>
      <c r="H1880" s="1521">
        <v>0</v>
      </c>
      <c r="I1880" s="1521">
        <v>0</v>
      </c>
      <c r="J1880" s="1538">
        <v>0</v>
      </c>
      <c r="K1880" s="1525"/>
      <c r="L1880" s="1519">
        <v>13207050102</v>
      </c>
      <c r="M1880" s="1520">
        <v>0</v>
      </c>
      <c r="N1880" s="1520">
        <v>0</v>
      </c>
      <c r="O1880" s="1521">
        <v>0</v>
      </c>
    </row>
    <row r="1881" spans="3:15" ht="13.5">
      <c r="C1881" s="1526" t="s">
        <v>5839</v>
      </c>
      <c r="D1881" s="1523">
        <v>0</v>
      </c>
      <c r="E1881" s="1523">
        <v>0</v>
      </c>
      <c r="F1881" s="1524">
        <v>0</v>
      </c>
      <c r="G1881" s="1537" t="s">
        <v>5839</v>
      </c>
      <c r="H1881" s="1521">
        <v>0</v>
      </c>
      <c r="I1881" s="1521">
        <v>0</v>
      </c>
      <c r="J1881" s="1538">
        <v>0</v>
      </c>
      <c r="K1881" s="1525"/>
      <c r="L1881" s="1519">
        <v>13207050200</v>
      </c>
      <c r="M1881" s="1520">
        <v>0</v>
      </c>
      <c r="N1881" s="1520">
        <v>0</v>
      </c>
      <c r="O1881" s="1521">
        <v>0</v>
      </c>
    </row>
    <row r="1882" spans="3:15" ht="13.5">
      <c r="C1882" s="1526" t="s">
        <v>5840</v>
      </c>
      <c r="D1882" s="1523">
        <v>0</v>
      </c>
      <c r="E1882" s="1523">
        <v>1</v>
      </c>
      <c r="F1882" s="1524">
        <v>1</v>
      </c>
      <c r="G1882" s="1537" t="s">
        <v>5840</v>
      </c>
      <c r="H1882" s="1521">
        <v>0</v>
      </c>
      <c r="I1882" s="1521">
        <v>1</v>
      </c>
      <c r="J1882" s="1538">
        <v>1</v>
      </c>
      <c r="K1882" s="1525"/>
      <c r="L1882" s="1519">
        <v>13207050301</v>
      </c>
      <c r="M1882" s="1520">
        <v>0</v>
      </c>
      <c r="N1882" s="1520">
        <v>1</v>
      </c>
      <c r="O1882" s="1521">
        <v>1</v>
      </c>
    </row>
    <row r="1883" spans="3:15" ht="13.5">
      <c r="C1883" s="1526" t="s">
        <v>5841</v>
      </c>
      <c r="D1883" s="1523">
        <v>1</v>
      </c>
      <c r="E1883" s="1523">
        <v>1</v>
      </c>
      <c r="F1883" s="1524">
        <v>2</v>
      </c>
      <c r="G1883" s="1537" t="s">
        <v>5841</v>
      </c>
      <c r="H1883" s="1521">
        <v>1</v>
      </c>
      <c r="I1883" s="1521">
        <v>1</v>
      </c>
      <c r="J1883" s="1538">
        <v>2</v>
      </c>
      <c r="K1883" s="1525"/>
      <c r="L1883" s="1519">
        <v>13207050302</v>
      </c>
      <c r="M1883" s="1520">
        <v>1</v>
      </c>
      <c r="N1883" s="1520">
        <v>1</v>
      </c>
      <c r="O1883" s="1521">
        <v>2</v>
      </c>
    </row>
    <row r="1884" spans="3:15" ht="13.5">
      <c r="C1884" s="1526" t="s">
        <v>5842</v>
      </c>
      <c r="D1884" s="1523">
        <v>0</v>
      </c>
      <c r="E1884" s="1523">
        <v>0</v>
      </c>
      <c r="F1884" s="1524">
        <v>0</v>
      </c>
      <c r="G1884" s="1537" t="s">
        <v>5842</v>
      </c>
      <c r="H1884" s="1521">
        <v>0</v>
      </c>
      <c r="I1884" s="1521">
        <v>0</v>
      </c>
      <c r="J1884" s="1538">
        <v>0</v>
      </c>
      <c r="K1884" s="1525"/>
      <c r="L1884" s="1519">
        <v>13209950100</v>
      </c>
      <c r="M1884" s="1520">
        <v>0</v>
      </c>
      <c r="N1884" s="1520">
        <v>0</v>
      </c>
      <c r="O1884" s="1521">
        <v>0</v>
      </c>
    </row>
    <row r="1885" spans="3:15" ht="13.5">
      <c r="C1885" s="1526" t="s">
        <v>5843</v>
      </c>
      <c r="D1885" s="1523">
        <v>0</v>
      </c>
      <c r="E1885" s="1523">
        <v>0</v>
      </c>
      <c r="F1885" s="1524">
        <v>0</v>
      </c>
      <c r="G1885" s="1537" t="s">
        <v>5843</v>
      </c>
      <c r="H1885" s="1521">
        <v>0</v>
      </c>
      <c r="I1885" s="1521">
        <v>1</v>
      </c>
      <c r="J1885" s="1538">
        <v>1</v>
      </c>
      <c r="K1885" s="1525"/>
      <c r="L1885" s="1519">
        <v>13209950200</v>
      </c>
      <c r="M1885" s="1520">
        <v>0</v>
      </c>
      <c r="N1885" s="1520">
        <v>1</v>
      </c>
      <c r="O1885" s="1521">
        <v>1</v>
      </c>
    </row>
    <row r="1886" spans="3:15" ht="13.5">
      <c r="C1886" s="1526" t="s">
        <v>5844</v>
      </c>
      <c r="D1886" s="1523">
        <v>0</v>
      </c>
      <c r="E1886" s="1523">
        <v>0</v>
      </c>
      <c r="F1886" s="1524">
        <v>0</v>
      </c>
      <c r="G1886" s="1537" t="s">
        <v>5844</v>
      </c>
      <c r="H1886" s="1521">
        <v>0</v>
      </c>
      <c r="I1886" s="1521">
        <v>0</v>
      </c>
      <c r="J1886" s="1538">
        <v>0</v>
      </c>
      <c r="K1886" s="1525"/>
      <c r="L1886" s="1519">
        <v>13209950300</v>
      </c>
      <c r="M1886" s="1520">
        <v>0</v>
      </c>
      <c r="N1886" s="1520">
        <v>0</v>
      </c>
      <c r="O1886" s="1521">
        <v>0</v>
      </c>
    </row>
    <row r="1887" spans="3:15" ht="13.5">
      <c r="C1887" s="1526" t="s">
        <v>5845</v>
      </c>
      <c r="D1887" s="1523">
        <v>1</v>
      </c>
      <c r="E1887" s="1523">
        <v>1</v>
      </c>
      <c r="F1887" s="1524">
        <v>2</v>
      </c>
      <c r="G1887" s="1537" t="s">
        <v>5845</v>
      </c>
      <c r="H1887" s="1521">
        <v>1</v>
      </c>
      <c r="I1887" s="1521">
        <v>1</v>
      </c>
      <c r="J1887" s="1538">
        <v>2</v>
      </c>
      <c r="K1887" s="1525"/>
      <c r="L1887" s="1519">
        <v>13211010100</v>
      </c>
      <c r="M1887" s="1520">
        <v>1</v>
      </c>
      <c r="N1887" s="1520">
        <v>1</v>
      </c>
      <c r="O1887" s="1521">
        <v>2</v>
      </c>
    </row>
    <row r="1888" spans="3:15" ht="13.5">
      <c r="C1888" s="1526" t="s">
        <v>5846</v>
      </c>
      <c r="D1888" s="1523">
        <v>0</v>
      </c>
      <c r="E1888" s="1523">
        <v>0</v>
      </c>
      <c r="F1888" s="1524">
        <v>0</v>
      </c>
      <c r="G1888" s="1537" t="s">
        <v>5846</v>
      </c>
      <c r="H1888" s="1521">
        <v>0</v>
      </c>
      <c r="I1888" s="1521">
        <v>0</v>
      </c>
      <c r="J1888" s="1538">
        <v>0</v>
      </c>
      <c r="K1888" s="1525"/>
      <c r="L1888" s="1519">
        <v>13211010200</v>
      </c>
      <c r="M1888" s="1520">
        <v>0</v>
      </c>
      <c r="N1888" s="1520">
        <v>0</v>
      </c>
      <c r="O1888" s="1521">
        <v>0</v>
      </c>
    </row>
    <row r="1889" spans="3:15" ht="13.5">
      <c r="C1889" s="1526" t="s">
        <v>5847</v>
      </c>
      <c r="D1889" s="1523">
        <v>1</v>
      </c>
      <c r="E1889" s="1523">
        <v>1</v>
      </c>
      <c r="F1889" s="1524">
        <v>2</v>
      </c>
      <c r="G1889" s="1537" t="s">
        <v>5847</v>
      </c>
      <c r="H1889" s="1521">
        <v>0</v>
      </c>
      <c r="I1889" s="1521">
        <v>1</v>
      </c>
      <c r="J1889" s="1538">
        <v>1</v>
      </c>
      <c r="K1889" s="1525"/>
      <c r="L1889" s="1519">
        <v>13211010300</v>
      </c>
      <c r="M1889" s="1520">
        <v>1</v>
      </c>
      <c r="N1889" s="1520">
        <v>1</v>
      </c>
      <c r="O1889" s="1521">
        <v>2</v>
      </c>
    </row>
    <row r="1890" spans="3:15" ht="13.5">
      <c r="C1890" s="1526" t="s">
        <v>5848</v>
      </c>
      <c r="D1890" s="1523">
        <v>1</v>
      </c>
      <c r="E1890" s="1523">
        <v>0</v>
      </c>
      <c r="F1890" s="1524">
        <v>1</v>
      </c>
      <c r="G1890" s="1537" t="s">
        <v>5848</v>
      </c>
      <c r="H1890" s="1521">
        <v>1</v>
      </c>
      <c r="I1890" s="1521">
        <v>0</v>
      </c>
      <c r="J1890" s="1538">
        <v>1</v>
      </c>
      <c r="K1890" s="1525"/>
      <c r="L1890" s="1519">
        <v>13211010400</v>
      </c>
      <c r="M1890" s="1520">
        <v>1</v>
      </c>
      <c r="N1890" s="1520">
        <v>0</v>
      </c>
      <c r="O1890" s="1521">
        <v>1</v>
      </c>
    </row>
    <row r="1891" spans="3:15" ht="13.5">
      <c r="C1891" s="1526" t="s">
        <v>5849</v>
      </c>
      <c r="D1891" s="1523">
        <v>1</v>
      </c>
      <c r="E1891" s="1523">
        <v>1</v>
      </c>
      <c r="F1891" s="1524">
        <v>2</v>
      </c>
      <c r="G1891" s="1537" t="s">
        <v>5849</v>
      </c>
      <c r="H1891" s="1521">
        <v>1</v>
      </c>
      <c r="I1891" s="1521">
        <v>0</v>
      </c>
      <c r="J1891" s="1538">
        <v>1</v>
      </c>
      <c r="K1891" s="1525"/>
      <c r="L1891" s="1519">
        <v>13211010500</v>
      </c>
      <c r="M1891" s="1520">
        <v>1</v>
      </c>
      <c r="N1891" s="1520">
        <v>1</v>
      </c>
      <c r="O1891" s="1521">
        <v>2</v>
      </c>
    </row>
    <row r="1892" spans="3:15" ht="13.5">
      <c r="C1892" s="1526" t="s">
        <v>5850</v>
      </c>
      <c r="D1892" s="1523">
        <v>0</v>
      </c>
      <c r="E1892" s="1523">
        <v>0</v>
      </c>
      <c r="F1892" s="1524">
        <v>0</v>
      </c>
      <c r="G1892" s="1537" t="s">
        <v>5850</v>
      </c>
      <c r="H1892" s="1521">
        <v>0</v>
      </c>
      <c r="I1892" s="1521">
        <v>0</v>
      </c>
      <c r="J1892" s="1538">
        <v>0</v>
      </c>
      <c r="K1892" s="1525"/>
      <c r="L1892" s="1519">
        <v>13213010100</v>
      </c>
      <c r="M1892" s="1520">
        <v>0</v>
      </c>
      <c r="N1892" s="1520">
        <v>0</v>
      </c>
      <c r="O1892" s="1521">
        <v>0</v>
      </c>
    </row>
    <row r="1893" spans="3:15" ht="13.5">
      <c r="C1893" s="1526" t="s">
        <v>5851</v>
      </c>
      <c r="D1893" s="1523">
        <v>0</v>
      </c>
      <c r="E1893" s="1523">
        <v>0</v>
      </c>
      <c r="F1893" s="1524">
        <v>0</v>
      </c>
      <c r="G1893" s="1537" t="s">
        <v>5851</v>
      </c>
      <c r="H1893" s="1521">
        <v>0</v>
      </c>
      <c r="I1893" s="1521">
        <v>0</v>
      </c>
      <c r="J1893" s="1538">
        <v>0</v>
      </c>
      <c r="K1893" s="1525"/>
      <c r="L1893" s="1519">
        <v>13213010201</v>
      </c>
      <c r="M1893" s="1520">
        <v>0</v>
      </c>
      <c r="N1893" s="1520">
        <v>0</v>
      </c>
      <c r="O1893" s="1521">
        <v>0</v>
      </c>
    </row>
    <row r="1894" spans="3:15" ht="13.5">
      <c r="C1894" s="1526" t="s">
        <v>5852</v>
      </c>
      <c r="D1894" s="1523">
        <v>0</v>
      </c>
      <c r="E1894" s="1523">
        <v>0</v>
      </c>
      <c r="F1894" s="1524">
        <v>0</v>
      </c>
      <c r="G1894" s="1537" t="s">
        <v>5852</v>
      </c>
      <c r="H1894" s="1521">
        <v>0</v>
      </c>
      <c r="I1894" s="1521">
        <v>0</v>
      </c>
      <c r="J1894" s="1538">
        <v>0</v>
      </c>
      <c r="K1894" s="1525"/>
      <c r="L1894" s="1519">
        <v>13213010202</v>
      </c>
      <c r="M1894" s="1520">
        <v>0</v>
      </c>
      <c r="N1894" s="1520">
        <v>0</v>
      </c>
      <c r="O1894" s="1521">
        <v>0</v>
      </c>
    </row>
    <row r="1895" spans="3:15" ht="13.5">
      <c r="C1895" s="1526" t="s">
        <v>5853</v>
      </c>
      <c r="D1895" s="1523">
        <v>0</v>
      </c>
      <c r="E1895" s="1523">
        <v>0</v>
      </c>
      <c r="F1895" s="1524">
        <v>0</v>
      </c>
      <c r="G1895" s="1537" t="s">
        <v>5853</v>
      </c>
      <c r="H1895" s="1521">
        <v>0</v>
      </c>
      <c r="I1895" s="1521">
        <v>0</v>
      </c>
      <c r="J1895" s="1538">
        <v>0</v>
      </c>
      <c r="K1895" s="1525"/>
      <c r="L1895" s="1519">
        <v>13213010300</v>
      </c>
      <c r="M1895" s="1520">
        <v>0</v>
      </c>
      <c r="N1895" s="1520">
        <v>0</v>
      </c>
      <c r="O1895" s="1521">
        <v>0</v>
      </c>
    </row>
    <row r="1896" spans="3:15" ht="13.5">
      <c r="C1896" s="1526" t="s">
        <v>5854</v>
      </c>
      <c r="D1896" s="1523">
        <v>0</v>
      </c>
      <c r="E1896" s="1523">
        <v>0</v>
      </c>
      <c r="F1896" s="1524">
        <v>0</v>
      </c>
      <c r="G1896" s="1537" t="s">
        <v>5854</v>
      </c>
      <c r="H1896" s="1521">
        <v>0</v>
      </c>
      <c r="I1896" s="1521">
        <v>0</v>
      </c>
      <c r="J1896" s="1538">
        <v>0</v>
      </c>
      <c r="K1896" s="1525"/>
      <c r="L1896" s="1519">
        <v>13213010400</v>
      </c>
      <c r="M1896" s="1520">
        <v>0</v>
      </c>
      <c r="N1896" s="1520">
        <v>0</v>
      </c>
      <c r="O1896" s="1521">
        <v>0</v>
      </c>
    </row>
    <row r="1897" spans="3:15" ht="13.5">
      <c r="C1897" s="1526" t="s">
        <v>5855</v>
      </c>
      <c r="D1897" s="1523">
        <v>0</v>
      </c>
      <c r="E1897" s="1523">
        <v>0</v>
      </c>
      <c r="F1897" s="1524">
        <v>0</v>
      </c>
      <c r="G1897" s="1537" t="s">
        <v>5855</v>
      </c>
      <c r="H1897" s="1521">
        <v>0</v>
      </c>
      <c r="I1897" s="1521">
        <v>0</v>
      </c>
      <c r="J1897" s="1538">
        <v>0</v>
      </c>
      <c r="K1897" s="1525"/>
      <c r="L1897" s="1519">
        <v>13213010500</v>
      </c>
      <c r="M1897" s="1520">
        <v>0</v>
      </c>
      <c r="N1897" s="1520">
        <v>0</v>
      </c>
      <c r="O1897" s="1521">
        <v>0</v>
      </c>
    </row>
    <row r="1898" spans="3:15" ht="13.5">
      <c r="C1898" s="1526" t="s">
        <v>5856</v>
      </c>
      <c r="D1898" s="1523">
        <v>0</v>
      </c>
      <c r="E1898" s="1523">
        <v>0</v>
      </c>
      <c r="F1898" s="1524">
        <v>0</v>
      </c>
      <c r="G1898" s="1537" t="s">
        <v>5856</v>
      </c>
      <c r="H1898" s="1521">
        <v>0</v>
      </c>
      <c r="I1898" s="1521">
        <v>0</v>
      </c>
      <c r="J1898" s="1538">
        <v>0</v>
      </c>
      <c r="K1898" s="1525"/>
      <c r="L1898" s="1519">
        <v>13213010600</v>
      </c>
      <c r="M1898" s="1520">
        <v>0</v>
      </c>
      <c r="N1898" s="1520">
        <v>0</v>
      </c>
      <c r="O1898" s="1521">
        <v>0</v>
      </c>
    </row>
    <row r="1899" spans="3:15" ht="13.5">
      <c r="C1899" s="1526" t="s">
        <v>5857</v>
      </c>
      <c r="D1899" s="1523">
        <v>0</v>
      </c>
      <c r="E1899" s="1523">
        <v>0</v>
      </c>
      <c r="F1899" s="1524">
        <v>0</v>
      </c>
      <c r="G1899" s="1537" t="s">
        <v>5857</v>
      </c>
      <c r="H1899" s="1521">
        <v>0</v>
      </c>
      <c r="I1899" s="1521">
        <v>0</v>
      </c>
      <c r="J1899" s="1538">
        <v>0</v>
      </c>
      <c r="K1899" s="1525"/>
      <c r="L1899" s="1519">
        <v>13213010700</v>
      </c>
      <c r="M1899" s="1520">
        <v>0</v>
      </c>
      <c r="N1899" s="1520">
        <v>0</v>
      </c>
      <c r="O1899" s="1521">
        <v>0</v>
      </c>
    </row>
    <row r="1900" spans="3:15" ht="13.5">
      <c r="C1900" s="1526" t="s">
        <v>5858</v>
      </c>
      <c r="D1900" s="1523">
        <v>0</v>
      </c>
      <c r="E1900" s="1523">
        <v>1</v>
      </c>
      <c r="F1900" s="1524">
        <v>1</v>
      </c>
      <c r="G1900" s="1537" t="s">
        <v>5858</v>
      </c>
      <c r="H1900" s="1521">
        <v>0</v>
      </c>
      <c r="I1900" s="1521">
        <v>1</v>
      </c>
      <c r="J1900" s="1538">
        <v>1</v>
      </c>
      <c r="K1900" s="1525"/>
      <c r="L1900" s="1519">
        <v>13215000200</v>
      </c>
      <c r="M1900" s="1520">
        <v>0</v>
      </c>
      <c r="N1900" s="1520">
        <v>1</v>
      </c>
      <c r="O1900" s="1521">
        <v>1</v>
      </c>
    </row>
    <row r="1901" spans="3:15" ht="13.5">
      <c r="C1901" s="1526" t="s">
        <v>5859</v>
      </c>
      <c r="D1901" s="1523">
        <v>0</v>
      </c>
      <c r="E1901" s="1523">
        <v>0</v>
      </c>
      <c r="F1901" s="1524">
        <v>0</v>
      </c>
      <c r="G1901" s="1537" t="s">
        <v>5859</v>
      </c>
      <c r="H1901" s="1521">
        <v>0</v>
      </c>
      <c r="I1901" s="1521">
        <v>0</v>
      </c>
      <c r="J1901" s="1538">
        <v>0</v>
      </c>
      <c r="K1901" s="1525"/>
      <c r="L1901" s="1519">
        <v>13215000300</v>
      </c>
      <c r="M1901" s="1520">
        <v>0</v>
      </c>
      <c r="N1901" s="1520">
        <v>0</v>
      </c>
      <c r="O1901" s="1521">
        <v>0</v>
      </c>
    </row>
    <row r="1902" spans="3:15" ht="13.5">
      <c r="C1902" s="1526" t="s">
        <v>5860</v>
      </c>
      <c r="D1902" s="1523">
        <v>0</v>
      </c>
      <c r="E1902" s="1523">
        <v>0</v>
      </c>
      <c r="F1902" s="1524">
        <v>0</v>
      </c>
      <c r="G1902" s="1537" t="s">
        <v>5860</v>
      </c>
      <c r="H1902" s="1521">
        <v>0</v>
      </c>
      <c r="I1902" s="1521">
        <v>0</v>
      </c>
      <c r="J1902" s="1538">
        <v>0</v>
      </c>
      <c r="K1902" s="1525"/>
      <c r="L1902" s="1519">
        <v>13215000400</v>
      </c>
      <c r="M1902" s="1520">
        <v>0</v>
      </c>
      <c r="N1902" s="1520">
        <v>0</v>
      </c>
      <c r="O1902" s="1521">
        <v>0</v>
      </c>
    </row>
    <row r="1903" spans="3:15" ht="13.5">
      <c r="C1903" s="1526" t="s">
        <v>5861</v>
      </c>
      <c r="D1903" s="1523">
        <v>0</v>
      </c>
      <c r="E1903" s="1523">
        <v>0</v>
      </c>
      <c r="F1903" s="1524">
        <v>0</v>
      </c>
      <c r="G1903" s="1537" t="s">
        <v>5861</v>
      </c>
      <c r="H1903" s="1521">
        <v>0</v>
      </c>
      <c r="I1903" s="1521">
        <v>0</v>
      </c>
      <c r="J1903" s="1538">
        <v>0</v>
      </c>
      <c r="K1903" s="1525"/>
      <c r="L1903" s="1519">
        <v>13215000800</v>
      </c>
      <c r="M1903" s="1520">
        <v>0</v>
      </c>
      <c r="N1903" s="1520">
        <v>0</v>
      </c>
      <c r="O1903" s="1521">
        <v>0</v>
      </c>
    </row>
    <row r="1904" spans="3:15" ht="13.5">
      <c r="C1904" s="1526" t="s">
        <v>5862</v>
      </c>
      <c r="D1904" s="1523">
        <v>0</v>
      </c>
      <c r="E1904" s="1523">
        <v>0</v>
      </c>
      <c r="F1904" s="1524">
        <v>0</v>
      </c>
      <c r="G1904" s="1537" t="s">
        <v>5862</v>
      </c>
      <c r="H1904" s="1521">
        <v>0</v>
      </c>
      <c r="I1904" s="1521">
        <v>0</v>
      </c>
      <c r="J1904" s="1538">
        <v>0</v>
      </c>
      <c r="K1904" s="1525"/>
      <c r="L1904" s="1519">
        <v>13215000900</v>
      </c>
      <c r="M1904" s="1520">
        <v>0</v>
      </c>
      <c r="N1904" s="1520">
        <v>0</v>
      </c>
      <c r="O1904" s="1521">
        <v>0</v>
      </c>
    </row>
    <row r="1905" spans="3:15" ht="13.5">
      <c r="C1905" s="1526" t="s">
        <v>5863</v>
      </c>
      <c r="D1905" s="1523">
        <v>0</v>
      </c>
      <c r="E1905" s="1523">
        <v>0</v>
      </c>
      <c r="F1905" s="1524">
        <v>0</v>
      </c>
      <c r="G1905" s="1537" t="s">
        <v>5863</v>
      </c>
      <c r="H1905" s="1521">
        <v>0</v>
      </c>
      <c r="I1905" s="1521">
        <v>0</v>
      </c>
      <c r="J1905" s="1538">
        <v>0</v>
      </c>
      <c r="K1905" s="1525"/>
      <c r="L1905" s="1519">
        <v>13215001000</v>
      </c>
      <c r="M1905" s="1520">
        <v>0</v>
      </c>
      <c r="N1905" s="1520">
        <v>0</v>
      </c>
      <c r="O1905" s="1521">
        <v>0</v>
      </c>
    </row>
    <row r="1906" spans="3:15" ht="13.5">
      <c r="C1906" s="1526" t="s">
        <v>5864</v>
      </c>
      <c r="D1906" s="1523">
        <v>1</v>
      </c>
      <c r="E1906" s="1523">
        <v>1</v>
      </c>
      <c r="F1906" s="1524">
        <v>2</v>
      </c>
      <c r="G1906" s="1537" t="s">
        <v>5864</v>
      </c>
      <c r="H1906" s="1521">
        <v>1</v>
      </c>
      <c r="I1906" s="1521">
        <v>1</v>
      </c>
      <c r="J1906" s="1538">
        <v>2</v>
      </c>
      <c r="K1906" s="1525"/>
      <c r="L1906" s="1519">
        <v>13215001100</v>
      </c>
      <c r="M1906" s="1520">
        <v>1</v>
      </c>
      <c r="N1906" s="1520">
        <v>1</v>
      </c>
      <c r="O1906" s="1521">
        <v>2</v>
      </c>
    </row>
    <row r="1907" spans="3:15" ht="13.5">
      <c r="C1907" s="1526" t="s">
        <v>5865</v>
      </c>
      <c r="D1907" s="1523">
        <v>1</v>
      </c>
      <c r="E1907" s="1523">
        <v>1</v>
      </c>
      <c r="F1907" s="1524">
        <v>2</v>
      </c>
      <c r="G1907" s="1537" t="s">
        <v>5865</v>
      </c>
      <c r="H1907" s="1521">
        <v>1</v>
      </c>
      <c r="I1907" s="1521">
        <v>1</v>
      </c>
      <c r="J1907" s="1538">
        <v>2</v>
      </c>
      <c r="K1907" s="1525"/>
      <c r="L1907" s="1519">
        <v>13215001200</v>
      </c>
      <c r="M1907" s="1520">
        <v>1</v>
      </c>
      <c r="N1907" s="1520">
        <v>1</v>
      </c>
      <c r="O1907" s="1521">
        <v>2</v>
      </c>
    </row>
    <row r="1908" spans="3:15" ht="13.5">
      <c r="C1908" s="1526" t="s">
        <v>5866</v>
      </c>
      <c r="D1908" s="1523">
        <v>0</v>
      </c>
      <c r="E1908" s="1523">
        <v>0</v>
      </c>
      <c r="F1908" s="1524">
        <v>0</v>
      </c>
      <c r="G1908" s="1537" t="s">
        <v>5866</v>
      </c>
      <c r="H1908" s="1521">
        <v>0</v>
      </c>
      <c r="I1908" s="1521">
        <v>0</v>
      </c>
      <c r="J1908" s="1538">
        <v>0</v>
      </c>
      <c r="K1908" s="1525"/>
      <c r="L1908" s="1519">
        <v>13215001400</v>
      </c>
      <c r="M1908" s="1520">
        <v>0</v>
      </c>
      <c r="N1908" s="1520">
        <v>0</v>
      </c>
      <c r="O1908" s="1521">
        <v>0</v>
      </c>
    </row>
    <row r="1909" spans="3:15" ht="13.5">
      <c r="C1909" s="1526" t="s">
        <v>5867</v>
      </c>
      <c r="D1909" s="1523">
        <v>0</v>
      </c>
      <c r="E1909" s="1523">
        <v>0</v>
      </c>
      <c r="F1909" s="1524">
        <v>0</v>
      </c>
      <c r="G1909" s="1537" t="s">
        <v>5867</v>
      </c>
      <c r="H1909" s="1521">
        <v>0</v>
      </c>
      <c r="I1909" s="1521" t="s">
        <v>4096</v>
      </c>
      <c r="J1909" s="1538">
        <v>0</v>
      </c>
      <c r="K1909" s="1525"/>
      <c r="L1909" s="1519">
        <v>13215001600</v>
      </c>
      <c r="M1909" s="1520">
        <v>0</v>
      </c>
      <c r="N1909" s="1520">
        <v>0</v>
      </c>
      <c r="O1909" s="1521">
        <v>0</v>
      </c>
    </row>
    <row r="1910" spans="3:15" ht="13.5">
      <c r="C1910" s="1526" t="s">
        <v>5868</v>
      </c>
      <c r="D1910" s="1523">
        <v>0</v>
      </c>
      <c r="E1910" s="1523">
        <v>0</v>
      </c>
      <c r="F1910" s="1524">
        <v>0</v>
      </c>
      <c r="G1910" s="1537" t="s">
        <v>5868</v>
      </c>
      <c r="H1910" s="1521">
        <v>0</v>
      </c>
      <c r="I1910" s="1521">
        <v>0</v>
      </c>
      <c r="J1910" s="1538">
        <v>0</v>
      </c>
      <c r="K1910" s="1525"/>
      <c r="L1910" s="1519">
        <v>13215001800</v>
      </c>
      <c r="M1910" s="1520">
        <v>0</v>
      </c>
      <c r="N1910" s="1520">
        <v>0</v>
      </c>
      <c r="O1910" s="1521">
        <v>0</v>
      </c>
    </row>
    <row r="1911" spans="3:15" ht="13.5">
      <c r="C1911" s="1526" t="s">
        <v>5869</v>
      </c>
      <c r="D1911" s="1523">
        <v>0</v>
      </c>
      <c r="E1911" s="1523">
        <v>0</v>
      </c>
      <c r="F1911" s="1524">
        <v>0</v>
      </c>
      <c r="G1911" s="1537" t="s">
        <v>5869</v>
      </c>
      <c r="H1911" s="1521">
        <v>0</v>
      </c>
      <c r="I1911" s="1521">
        <v>0</v>
      </c>
      <c r="J1911" s="1538">
        <v>0</v>
      </c>
      <c r="K1911" s="1525"/>
      <c r="L1911" s="1519">
        <v>13215002000</v>
      </c>
      <c r="M1911" s="1520">
        <v>0</v>
      </c>
      <c r="N1911" s="1520">
        <v>0</v>
      </c>
      <c r="O1911" s="1521">
        <v>0</v>
      </c>
    </row>
    <row r="1912" spans="3:15" ht="13.5">
      <c r="C1912" s="1526" t="s">
        <v>5870</v>
      </c>
      <c r="D1912" s="1523">
        <v>0</v>
      </c>
      <c r="E1912" s="1523">
        <v>0</v>
      </c>
      <c r="F1912" s="1524">
        <v>0</v>
      </c>
      <c r="G1912" s="1537" t="s">
        <v>5870</v>
      </c>
      <c r="H1912" s="1521">
        <v>0</v>
      </c>
      <c r="I1912" s="1521">
        <v>0</v>
      </c>
      <c r="J1912" s="1538">
        <v>0</v>
      </c>
      <c r="K1912" s="1525"/>
      <c r="L1912" s="1519">
        <v>13215002100</v>
      </c>
      <c r="M1912" s="1520">
        <v>0</v>
      </c>
      <c r="N1912" s="1520">
        <v>0</v>
      </c>
      <c r="O1912" s="1521">
        <v>0</v>
      </c>
    </row>
    <row r="1913" spans="3:15" ht="13.5">
      <c r="C1913" s="1526" t="s">
        <v>5871</v>
      </c>
      <c r="D1913" s="1523">
        <v>0</v>
      </c>
      <c r="E1913" s="1523">
        <v>0</v>
      </c>
      <c r="F1913" s="1524">
        <v>0</v>
      </c>
      <c r="G1913" s="1537" t="s">
        <v>5871</v>
      </c>
      <c r="H1913" s="1521">
        <v>0</v>
      </c>
      <c r="I1913" s="1521">
        <v>0</v>
      </c>
      <c r="J1913" s="1538">
        <v>0</v>
      </c>
      <c r="K1913" s="1525"/>
      <c r="L1913" s="1519">
        <v>13215002200</v>
      </c>
      <c r="M1913" s="1520">
        <v>0</v>
      </c>
      <c r="N1913" s="1520">
        <v>0</v>
      </c>
      <c r="O1913" s="1521">
        <v>0</v>
      </c>
    </row>
    <row r="1914" spans="3:15" ht="13.5">
      <c r="C1914" s="1526" t="s">
        <v>5872</v>
      </c>
      <c r="D1914" s="1523">
        <v>0</v>
      </c>
      <c r="E1914" s="1523">
        <v>0</v>
      </c>
      <c r="F1914" s="1524">
        <v>0</v>
      </c>
      <c r="G1914" s="1537" t="s">
        <v>5872</v>
      </c>
      <c r="H1914" s="1521">
        <v>0</v>
      </c>
      <c r="I1914" s="1521">
        <v>0</v>
      </c>
      <c r="J1914" s="1538">
        <v>0</v>
      </c>
      <c r="K1914" s="1525"/>
      <c r="L1914" s="1519">
        <v>13215002300</v>
      </c>
      <c r="M1914" s="1520">
        <v>0</v>
      </c>
      <c r="N1914" s="1520">
        <v>0</v>
      </c>
      <c r="O1914" s="1521">
        <v>0</v>
      </c>
    </row>
    <row r="1915" spans="3:15" ht="13.5">
      <c r="C1915" s="1526" t="s">
        <v>5873</v>
      </c>
      <c r="D1915" s="1523">
        <v>0</v>
      </c>
      <c r="E1915" s="1523">
        <v>0</v>
      </c>
      <c r="F1915" s="1524">
        <v>0</v>
      </c>
      <c r="G1915" s="1537" t="s">
        <v>5873</v>
      </c>
      <c r="H1915" s="1521">
        <v>0</v>
      </c>
      <c r="I1915" s="1521">
        <v>0</v>
      </c>
      <c r="J1915" s="1538">
        <v>0</v>
      </c>
      <c r="K1915" s="1525"/>
      <c r="L1915" s="1519">
        <v>13215002400</v>
      </c>
      <c r="M1915" s="1520">
        <v>0</v>
      </c>
      <c r="N1915" s="1520">
        <v>0</v>
      </c>
      <c r="O1915" s="1521">
        <v>0</v>
      </c>
    </row>
    <row r="1916" spans="3:15" ht="13.5">
      <c r="C1916" s="1526" t="s">
        <v>5874</v>
      </c>
      <c r="D1916" s="1523">
        <v>0</v>
      </c>
      <c r="E1916" s="1523">
        <v>0</v>
      </c>
      <c r="F1916" s="1524">
        <v>0</v>
      </c>
      <c r="G1916" s="1537" t="s">
        <v>5874</v>
      </c>
      <c r="H1916" s="1521">
        <v>0</v>
      </c>
      <c r="I1916" s="1521">
        <v>0</v>
      </c>
      <c r="J1916" s="1538">
        <v>0</v>
      </c>
      <c r="K1916" s="1525"/>
      <c r="L1916" s="1519">
        <v>13215002500</v>
      </c>
      <c r="M1916" s="1520">
        <v>0</v>
      </c>
      <c r="N1916" s="1520">
        <v>0</v>
      </c>
      <c r="O1916" s="1521">
        <v>0</v>
      </c>
    </row>
    <row r="1917" spans="3:15" ht="13.5">
      <c r="C1917" s="1526" t="s">
        <v>5875</v>
      </c>
      <c r="D1917" s="1523">
        <v>0</v>
      </c>
      <c r="E1917" s="1523">
        <v>0</v>
      </c>
      <c r="F1917" s="1524">
        <v>0</v>
      </c>
      <c r="G1917" s="1537" t="s">
        <v>5875</v>
      </c>
      <c r="H1917" s="1521">
        <v>0</v>
      </c>
      <c r="I1917" s="1521">
        <v>0</v>
      </c>
      <c r="J1917" s="1538">
        <v>0</v>
      </c>
      <c r="K1917" s="1525"/>
      <c r="L1917" s="1519">
        <v>13215002700</v>
      </c>
      <c r="M1917" s="1520">
        <v>0</v>
      </c>
      <c r="N1917" s="1520">
        <v>0</v>
      </c>
      <c r="O1917" s="1521">
        <v>0</v>
      </c>
    </row>
    <row r="1918" spans="3:15" ht="13.5">
      <c r="C1918" s="1526" t="s">
        <v>5876</v>
      </c>
      <c r="D1918" s="1523">
        <v>0</v>
      </c>
      <c r="E1918" s="1523">
        <v>0</v>
      </c>
      <c r="F1918" s="1524">
        <v>0</v>
      </c>
      <c r="G1918" s="1537" t="s">
        <v>5876</v>
      </c>
      <c r="H1918" s="1521">
        <v>0</v>
      </c>
      <c r="I1918" s="1521">
        <v>0</v>
      </c>
      <c r="J1918" s="1538">
        <v>0</v>
      </c>
      <c r="K1918" s="1525"/>
      <c r="L1918" s="1519">
        <v>13215002800</v>
      </c>
      <c r="M1918" s="1520">
        <v>0</v>
      </c>
      <c r="N1918" s="1520">
        <v>0</v>
      </c>
      <c r="O1918" s="1521">
        <v>0</v>
      </c>
    </row>
    <row r="1919" spans="3:15" ht="13.5">
      <c r="C1919" s="1526" t="s">
        <v>5877</v>
      </c>
      <c r="D1919" s="1523">
        <v>0</v>
      </c>
      <c r="E1919" s="1523">
        <v>0</v>
      </c>
      <c r="F1919" s="1524">
        <v>0</v>
      </c>
      <c r="G1919" s="1537" t="s">
        <v>5877</v>
      </c>
      <c r="H1919" s="1521">
        <v>0</v>
      </c>
      <c r="I1919" s="1521">
        <v>0</v>
      </c>
      <c r="J1919" s="1538">
        <v>0</v>
      </c>
      <c r="K1919" s="1525"/>
      <c r="L1919" s="1519">
        <v>13215002901</v>
      </c>
      <c r="M1919" s="1520">
        <v>0</v>
      </c>
      <c r="N1919" s="1520">
        <v>0</v>
      </c>
      <c r="O1919" s="1521">
        <v>0</v>
      </c>
    </row>
    <row r="1920" spans="3:15" ht="13.5">
      <c r="C1920" s="1526" t="s">
        <v>5878</v>
      </c>
      <c r="D1920" s="1523">
        <v>0</v>
      </c>
      <c r="E1920" s="1523">
        <v>0</v>
      </c>
      <c r="F1920" s="1524">
        <v>0</v>
      </c>
      <c r="G1920" s="1537" t="s">
        <v>5878</v>
      </c>
      <c r="H1920" s="1521">
        <v>0</v>
      </c>
      <c r="I1920" s="1521">
        <v>0</v>
      </c>
      <c r="J1920" s="1538">
        <v>0</v>
      </c>
      <c r="K1920" s="1525"/>
      <c r="L1920" s="1519">
        <v>13215002902</v>
      </c>
      <c r="M1920" s="1520">
        <v>0</v>
      </c>
      <c r="N1920" s="1520">
        <v>0</v>
      </c>
      <c r="O1920" s="1521">
        <v>0</v>
      </c>
    </row>
    <row r="1921" spans="3:15" ht="13.5">
      <c r="C1921" s="1526" t="s">
        <v>5879</v>
      </c>
      <c r="D1921" s="1523">
        <v>0</v>
      </c>
      <c r="E1921" s="1523">
        <v>0</v>
      </c>
      <c r="F1921" s="1524">
        <v>0</v>
      </c>
      <c r="G1921" s="1537" t="s">
        <v>5879</v>
      </c>
      <c r="H1921" s="1521">
        <v>0</v>
      </c>
      <c r="I1921" s="1521" t="s">
        <v>4096</v>
      </c>
      <c r="J1921" s="1538">
        <v>0</v>
      </c>
      <c r="K1921" s="1525"/>
      <c r="L1921" s="1519">
        <v>13215003000</v>
      </c>
      <c r="M1921" s="1520">
        <v>0</v>
      </c>
      <c r="N1921" s="1520">
        <v>0</v>
      </c>
      <c r="O1921" s="1521">
        <v>0</v>
      </c>
    </row>
    <row r="1922" spans="3:15" ht="13.5">
      <c r="C1922" s="1526" t="s">
        <v>5880</v>
      </c>
      <c r="D1922" s="1523">
        <v>0</v>
      </c>
      <c r="E1922" s="1523">
        <v>0</v>
      </c>
      <c r="F1922" s="1524">
        <v>0</v>
      </c>
      <c r="G1922" s="1537" t="s">
        <v>5880</v>
      </c>
      <c r="H1922" s="1521">
        <v>0</v>
      </c>
      <c r="I1922" s="1521">
        <v>0</v>
      </c>
      <c r="J1922" s="1538">
        <v>0</v>
      </c>
      <c r="K1922" s="1525"/>
      <c r="L1922" s="1519">
        <v>13215003200</v>
      </c>
      <c r="M1922" s="1520">
        <v>0</v>
      </c>
      <c r="N1922" s="1520">
        <v>0</v>
      </c>
      <c r="O1922" s="1521">
        <v>0</v>
      </c>
    </row>
    <row r="1923" spans="3:15" ht="13.5">
      <c r="C1923" s="1526" t="s">
        <v>5881</v>
      </c>
      <c r="D1923" s="1523">
        <v>0</v>
      </c>
      <c r="E1923" s="1523">
        <v>0</v>
      </c>
      <c r="F1923" s="1524">
        <v>0</v>
      </c>
      <c r="G1923" s="1537" t="s">
        <v>5881</v>
      </c>
      <c r="H1923" s="1521">
        <v>0</v>
      </c>
      <c r="I1923" s="1521">
        <v>0</v>
      </c>
      <c r="J1923" s="1538">
        <v>0</v>
      </c>
      <c r="K1923" s="1525"/>
      <c r="L1923" s="1519">
        <v>13215003301</v>
      </c>
      <c r="M1923" s="1520">
        <v>0</v>
      </c>
      <c r="N1923" s="1520">
        <v>0</v>
      </c>
      <c r="O1923" s="1521">
        <v>0</v>
      </c>
    </row>
    <row r="1924" spans="3:15" ht="13.5">
      <c r="C1924" s="1526" t="s">
        <v>5882</v>
      </c>
      <c r="D1924" s="1523">
        <v>0</v>
      </c>
      <c r="E1924" s="1523">
        <v>0</v>
      </c>
      <c r="F1924" s="1524">
        <v>0</v>
      </c>
      <c r="G1924" s="1537" t="s">
        <v>5882</v>
      </c>
      <c r="H1924" s="1521">
        <v>0</v>
      </c>
      <c r="I1924" s="1521">
        <v>0</v>
      </c>
      <c r="J1924" s="1538">
        <v>0</v>
      </c>
      <c r="K1924" s="1525"/>
      <c r="L1924" s="1519">
        <v>13215003302</v>
      </c>
      <c r="M1924" s="1520">
        <v>0</v>
      </c>
      <c r="N1924" s="1520">
        <v>0</v>
      </c>
      <c r="O1924" s="1521">
        <v>0</v>
      </c>
    </row>
    <row r="1925" spans="3:15" ht="13.5">
      <c r="C1925" s="1526" t="s">
        <v>5883</v>
      </c>
      <c r="D1925" s="1523">
        <v>0</v>
      </c>
      <c r="E1925" s="1523">
        <v>0</v>
      </c>
      <c r="F1925" s="1524">
        <v>0</v>
      </c>
      <c r="G1925" s="1537" t="s">
        <v>5883</v>
      </c>
      <c r="H1925" s="1521">
        <v>0</v>
      </c>
      <c r="I1925" s="1521">
        <v>0</v>
      </c>
      <c r="J1925" s="1538">
        <v>0</v>
      </c>
      <c r="K1925" s="1525"/>
      <c r="L1925" s="1519">
        <v>13215003400</v>
      </c>
      <c r="M1925" s="1520">
        <v>0</v>
      </c>
      <c r="N1925" s="1520">
        <v>0</v>
      </c>
      <c r="O1925" s="1521">
        <v>0</v>
      </c>
    </row>
    <row r="1926" spans="3:15" ht="13.5">
      <c r="C1926" s="1526" t="s">
        <v>5884</v>
      </c>
      <c r="D1926" s="1523">
        <v>1</v>
      </c>
      <c r="E1926" s="1523">
        <v>1</v>
      </c>
      <c r="F1926" s="1524">
        <v>2</v>
      </c>
      <c r="G1926" s="1537" t="s">
        <v>5884</v>
      </c>
      <c r="H1926" s="1521">
        <v>1</v>
      </c>
      <c r="I1926" s="1521">
        <v>1</v>
      </c>
      <c r="J1926" s="1538">
        <v>2</v>
      </c>
      <c r="K1926" s="1525"/>
      <c r="L1926" s="1519">
        <v>13215010104</v>
      </c>
      <c r="M1926" s="1520">
        <v>1</v>
      </c>
      <c r="N1926" s="1520">
        <v>1</v>
      </c>
      <c r="O1926" s="1521">
        <v>2</v>
      </c>
    </row>
    <row r="1927" spans="3:15" ht="13.5">
      <c r="C1927" s="1526" t="s">
        <v>5885</v>
      </c>
      <c r="D1927" s="1523">
        <v>0</v>
      </c>
      <c r="E1927" s="1523">
        <v>1</v>
      </c>
      <c r="F1927" s="1524">
        <v>1</v>
      </c>
      <c r="G1927" s="1537" t="s">
        <v>5885</v>
      </c>
      <c r="H1927" s="1521">
        <v>0</v>
      </c>
      <c r="I1927" s="1521">
        <v>1</v>
      </c>
      <c r="J1927" s="1538">
        <v>1</v>
      </c>
      <c r="K1927" s="1525"/>
      <c r="L1927" s="1519">
        <v>13215010106</v>
      </c>
      <c r="M1927" s="1520">
        <v>0</v>
      </c>
      <c r="N1927" s="1520">
        <v>1</v>
      </c>
      <c r="O1927" s="1521">
        <v>1</v>
      </c>
    </row>
    <row r="1928" spans="3:15" ht="13.5">
      <c r="C1928" s="1526" t="s">
        <v>5886</v>
      </c>
      <c r="D1928" s="1523">
        <v>1</v>
      </c>
      <c r="E1928" s="1523">
        <v>1</v>
      </c>
      <c r="F1928" s="1524">
        <v>2</v>
      </c>
      <c r="G1928" s="1537" t="s">
        <v>5886</v>
      </c>
      <c r="H1928" s="1521">
        <v>1</v>
      </c>
      <c r="I1928" s="1521">
        <v>1</v>
      </c>
      <c r="J1928" s="1538">
        <v>2</v>
      </c>
      <c r="K1928" s="1525"/>
      <c r="L1928" s="1519">
        <v>13215010107</v>
      </c>
      <c r="M1928" s="1520">
        <v>1</v>
      </c>
      <c r="N1928" s="1520">
        <v>1</v>
      </c>
      <c r="O1928" s="1521">
        <v>2</v>
      </c>
    </row>
    <row r="1929" spans="3:15" ht="13.5">
      <c r="C1929" s="1526" t="s">
        <v>5887</v>
      </c>
      <c r="D1929" s="1523">
        <v>1</v>
      </c>
      <c r="E1929" s="1523">
        <v>1</v>
      </c>
      <c r="F1929" s="1524">
        <v>2</v>
      </c>
      <c r="G1929" s="1537" t="s">
        <v>5887</v>
      </c>
      <c r="H1929" s="1521">
        <v>1</v>
      </c>
      <c r="I1929" s="1521">
        <v>1</v>
      </c>
      <c r="J1929" s="1538">
        <v>2</v>
      </c>
      <c r="K1929" s="1525"/>
      <c r="L1929" s="1519">
        <v>13215010201</v>
      </c>
      <c r="M1929" s="1520">
        <v>1</v>
      </c>
      <c r="N1929" s="1520">
        <v>1</v>
      </c>
      <c r="O1929" s="1521">
        <v>2</v>
      </c>
    </row>
    <row r="1930" spans="3:15" ht="13.5">
      <c r="C1930" s="1526" t="s">
        <v>5888</v>
      </c>
      <c r="D1930" s="1523">
        <v>1</v>
      </c>
      <c r="E1930" s="1523">
        <v>1</v>
      </c>
      <c r="F1930" s="1524">
        <v>2</v>
      </c>
      <c r="G1930" s="1537" t="s">
        <v>5888</v>
      </c>
      <c r="H1930" s="1521">
        <v>1</v>
      </c>
      <c r="I1930" s="1521">
        <v>1</v>
      </c>
      <c r="J1930" s="1538">
        <v>2</v>
      </c>
      <c r="K1930" s="1525"/>
      <c r="L1930" s="1519">
        <v>13215010203</v>
      </c>
      <c r="M1930" s="1520">
        <v>1</v>
      </c>
      <c r="N1930" s="1520">
        <v>1</v>
      </c>
      <c r="O1930" s="1521">
        <v>2</v>
      </c>
    </row>
    <row r="1931" spans="3:15" ht="13.5">
      <c r="C1931" s="1526" t="s">
        <v>5889</v>
      </c>
      <c r="D1931" s="1523">
        <v>1</v>
      </c>
      <c r="E1931" s="1523">
        <v>1</v>
      </c>
      <c r="F1931" s="1524">
        <v>2</v>
      </c>
      <c r="G1931" s="1537" t="s">
        <v>5889</v>
      </c>
      <c r="H1931" s="1521">
        <v>1</v>
      </c>
      <c r="I1931" s="1521">
        <v>1</v>
      </c>
      <c r="J1931" s="1538">
        <v>2</v>
      </c>
      <c r="K1931" s="1525"/>
      <c r="L1931" s="1519">
        <v>13215010204</v>
      </c>
      <c r="M1931" s="1520">
        <v>1</v>
      </c>
      <c r="N1931" s="1520">
        <v>1</v>
      </c>
      <c r="O1931" s="1521">
        <v>2</v>
      </c>
    </row>
    <row r="1932" spans="3:15" ht="13.5">
      <c r="C1932" s="1526" t="s">
        <v>5890</v>
      </c>
      <c r="D1932" s="1523">
        <v>1</v>
      </c>
      <c r="E1932" s="1523">
        <v>1</v>
      </c>
      <c r="F1932" s="1524">
        <v>2</v>
      </c>
      <c r="G1932" s="1537" t="s">
        <v>5890</v>
      </c>
      <c r="H1932" s="1521">
        <v>1</v>
      </c>
      <c r="I1932" s="1521">
        <v>1</v>
      </c>
      <c r="J1932" s="1538">
        <v>2</v>
      </c>
      <c r="K1932" s="1525"/>
      <c r="L1932" s="1519">
        <v>13215010205</v>
      </c>
      <c r="M1932" s="1520">
        <v>1</v>
      </c>
      <c r="N1932" s="1520">
        <v>1</v>
      </c>
      <c r="O1932" s="1521">
        <v>2</v>
      </c>
    </row>
    <row r="1933" spans="3:15" ht="13.5">
      <c r="C1933" s="1526" t="s">
        <v>5891</v>
      </c>
      <c r="D1933" s="1523">
        <v>1</v>
      </c>
      <c r="E1933" s="1523">
        <v>1</v>
      </c>
      <c r="F1933" s="1524">
        <v>2</v>
      </c>
      <c r="G1933" s="1537" t="s">
        <v>5891</v>
      </c>
      <c r="H1933" s="1521">
        <v>1</v>
      </c>
      <c r="I1933" s="1521">
        <v>1</v>
      </c>
      <c r="J1933" s="1538">
        <v>2</v>
      </c>
      <c r="K1933" s="1525"/>
      <c r="L1933" s="1519">
        <v>13215010301</v>
      </c>
      <c r="M1933" s="1520">
        <v>1</v>
      </c>
      <c r="N1933" s="1520">
        <v>1</v>
      </c>
      <c r="O1933" s="1521">
        <v>2</v>
      </c>
    </row>
    <row r="1934" spans="3:15" ht="13.5">
      <c r="C1934" s="1526" t="s">
        <v>5892</v>
      </c>
      <c r="D1934" s="1523">
        <v>1</v>
      </c>
      <c r="E1934" s="1523">
        <v>1</v>
      </c>
      <c r="F1934" s="1524">
        <v>2</v>
      </c>
      <c r="G1934" s="1537" t="s">
        <v>5892</v>
      </c>
      <c r="H1934" s="1521">
        <v>1</v>
      </c>
      <c r="I1934" s="1521">
        <v>1</v>
      </c>
      <c r="J1934" s="1538">
        <v>2</v>
      </c>
      <c r="K1934" s="1525"/>
      <c r="L1934" s="1519">
        <v>13215010302</v>
      </c>
      <c r="M1934" s="1520">
        <v>1</v>
      </c>
      <c r="N1934" s="1520">
        <v>1</v>
      </c>
      <c r="O1934" s="1521">
        <v>2</v>
      </c>
    </row>
    <row r="1935" spans="3:15" ht="13.5">
      <c r="C1935" s="1526" t="s">
        <v>5893</v>
      </c>
      <c r="D1935" s="1523">
        <v>1</v>
      </c>
      <c r="E1935" s="1523">
        <v>1</v>
      </c>
      <c r="F1935" s="1524">
        <v>2</v>
      </c>
      <c r="G1935" s="1537" t="s">
        <v>5893</v>
      </c>
      <c r="H1935" s="1521">
        <v>1</v>
      </c>
      <c r="I1935" s="1521">
        <v>1</v>
      </c>
      <c r="J1935" s="1538">
        <v>2</v>
      </c>
      <c r="K1935" s="1525"/>
      <c r="L1935" s="1519">
        <v>13215010401</v>
      </c>
      <c r="M1935" s="1520">
        <v>1</v>
      </c>
      <c r="N1935" s="1520">
        <v>1</v>
      </c>
      <c r="O1935" s="1521">
        <v>2</v>
      </c>
    </row>
    <row r="1936" spans="3:15" ht="13.5">
      <c r="C1936" s="1526" t="s">
        <v>5894</v>
      </c>
      <c r="D1936" s="1523">
        <v>1</v>
      </c>
      <c r="E1936" s="1523">
        <v>0</v>
      </c>
      <c r="F1936" s="1524">
        <v>1</v>
      </c>
      <c r="G1936" s="1537" t="s">
        <v>5894</v>
      </c>
      <c r="H1936" s="1521">
        <v>1</v>
      </c>
      <c r="I1936" s="1521">
        <v>0</v>
      </c>
      <c r="J1936" s="1538">
        <v>0</v>
      </c>
      <c r="K1936" s="1525"/>
      <c r="L1936" s="1519">
        <v>13215010402</v>
      </c>
      <c r="M1936" s="1520">
        <v>1</v>
      </c>
      <c r="N1936" s="1520">
        <v>0</v>
      </c>
      <c r="O1936" s="1521">
        <v>1</v>
      </c>
    </row>
    <row r="1937" spans="3:15" ht="13.5">
      <c r="C1937" s="1526" t="s">
        <v>5895</v>
      </c>
      <c r="D1937" s="1523">
        <v>1</v>
      </c>
      <c r="E1937" s="1523">
        <v>0</v>
      </c>
      <c r="F1937" s="1524">
        <v>1</v>
      </c>
      <c r="G1937" s="1537" t="s">
        <v>5895</v>
      </c>
      <c r="H1937" s="1521">
        <v>0</v>
      </c>
      <c r="I1937" s="1521">
        <v>1</v>
      </c>
      <c r="J1937" s="1538">
        <v>1</v>
      </c>
      <c r="K1937" s="1525"/>
      <c r="L1937" s="1519">
        <v>13215010501</v>
      </c>
      <c r="M1937" s="1520">
        <v>1</v>
      </c>
      <c r="N1937" s="1520">
        <v>1</v>
      </c>
      <c r="O1937" s="1521">
        <v>1</v>
      </c>
    </row>
    <row r="1938" spans="3:15" ht="13.5">
      <c r="C1938" s="1526" t="s">
        <v>5896</v>
      </c>
      <c r="D1938" s="1523">
        <v>0</v>
      </c>
      <c r="E1938" s="1523">
        <v>0</v>
      </c>
      <c r="F1938" s="1524">
        <v>0</v>
      </c>
      <c r="G1938" s="1537" t="s">
        <v>5896</v>
      </c>
      <c r="H1938" s="1521">
        <v>0</v>
      </c>
      <c r="I1938" s="1521">
        <v>0</v>
      </c>
      <c r="J1938" s="1538">
        <v>0</v>
      </c>
      <c r="K1938" s="1525"/>
      <c r="L1938" s="1519">
        <v>13215010502</v>
      </c>
      <c r="M1938" s="1520">
        <v>0</v>
      </c>
      <c r="N1938" s="1520">
        <v>0</v>
      </c>
      <c r="O1938" s="1521">
        <v>0</v>
      </c>
    </row>
    <row r="1939" spans="3:15" ht="13.5">
      <c r="C1939" s="1526" t="s">
        <v>5897</v>
      </c>
      <c r="D1939" s="1523">
        <v>0</v>
      </c>
      <c r="E1939" s="1523">
        <v>0</v>
      </c>
      <c r="F1939" s="1524">
        <v>0</v>
      </c>
      <c r="G1939" s="1537" t="s">
        <v>5897</v>
      </c>
      <c r="H1939" s="1521">
        <v>0</v>
      </c>
      <c r="I1939" s="1521">
        <v>0</v>
      </c>
      <c r="J1939" s="1538">
        <v>0</v>
      </c>
      <c r="K1939" s="1525"/>
      <c r="L1939" s="1519">
        <v>13215010602</v>
      </c>
      <c r="M1939" s="1520">
        <v>0</v>
      </c>
      <c r="N1939" s="1520">
        <v>0</v>
      </c>
      <c r="O1939" s="1521">
        <v>0</v>
      </c>
    </row>
    <row r="1940" spans="3:15" ht="13.5">
      <c r="C1940" s="1526" t="s">
        <v>5898</v>
      </c>
      <c r="D1940" s="1523">
        <v>0</v>
      </c>
      <c r="E1940" s="1523">
        <v>0</v>
      </c>
      <c r="F1940" s="1524">
        <v>0</v>
      </c>
      <c r="G1940" s="1537" t="s">
        <v>5898</v>
      </c>
      <c r="H1940" s="1521">
        <v>0</v>
      </c>
      <c r="I1940" s="1521">
        <v>1</v>
      </c>
      <c r="J1940" s="1538">
        <v>1</v>
      </c>
      <c r="K1940" s="1525"/>
      <c r="L1940" s="1519">
        <v>13215010605</v>
      </c>
      <c r="M1940" s="1520">
        <v>0</v>
      </c>
      <c r="N1940" s="1520">
        <v>1</v>
      </c>
      <c r="O1940" s="1521">
        <v>1</v>
      </c>
    </row>
    <row r="1941" spans="3:15" ht="13.5">
      <c r="C1941" s="1526" t="s">
        <v>5899</v>
      </c>
      <c r="D1941" s="1523" t="s">
        <v>4096</v>
      </c>
      <c r="E1941" s="1523">
        <v>0</v>
      </c>
      <c r="F1941" s="1524">
        <v>0</v>
      </c>
      <c r="G1941" s="1537" t="s">
        <v>5899</v>
      </c>
      <c r="H1941" s="1521" t="s">
        <v>4096</v>
      </c>
      <c r="I1941" s="1521" t="s">
        <v>4096</v>
      </c>
      <c r="J1941" s="1538">
        <v>0</v>
      </c>
      <c r="K1941" s="1525"/>
      <c r="L1941" s="1519">
        <v>13215010606</v>
      </c>
      <c r="M1941" s="1520">
        <v>0</v>
      </c>
      <c r="N1941" s="1520">
        <v>0</v>
      </c>
      <c r="O1941" s="1521">
        <v>0</v>
      </c>
    </row>
    <row r="1942" spans="3:15" ht="13.5">
      <c r="C1942" s="1526" t="s">
        <v>5900</v>
      </c>
      <c r="D1942" s="1523">
        <v>0</v>
      </c>
      <c r="E1942" s="1523">
        <v>0</v>
      </c>
      <c r="F1942" s="1524">
        <v>0</v>
      </c>
      <c r="G1942" s="1537" t="s">
        <v>5900</v>
      </c>
      <c r="H1942" s="1521">
        <v>0</v>
      </c>
      <c r="I1942" s="1521">
        <v>0</v>
      </c>
      <c r="J1942" s="1538">
        <v>0</v>
      </c>
      <c r="K1942" s="1525"/>
      <c r="L1942" s="1519">
        <v>13215010607</v>
      </c>
      <c r="M1942" s="1520">
        <v>0</v>
      </c>
      <c r="N1942" s="1520">
        <v>0</v>
      </c>
      <c r="O1942" s="1521">
        <v>0</v>
      </c>
    </row>
    <row r="1943" spans="3:15" ht="13.5">
      <c r="C1943" s="1526" t="s">
        <v>5901</v>
      </c>
      <c r="D1943" s="1523">
        <v>0</v>
      </c>
      <c r="E1943" s="1523">
        <v>0</v>
      </c>
      <c r="F1943" s="1524">
        <v>0</v>
      </c>
      <c r="G1943" s="1537" t="s">
        <v>5901</v>
      </c>
      <c r="H1943" s="1521">
        <v>0</v>
      </c>
      <c r="I1943" s="1521">
        <v>0</v>
      </c>
      <c r="J1943" s="1538">
        <v>0</v>
      </c>
      <c r="K1943" s="1525"/>
      <c r="L1943" s="1519">
        <v>13215010608</v>
      </c>
      <c r="M1943" s="1520">
        <v>0</v>
      </c>
      <c r="N1943" s="1520">
        <v>0</v>
      </c>
      <c r="O1943" s="1521">
        <v>0</v>
      </c>
    </row>
    <row r="1944" spans="3:15" ht="13.5">
      <c r="C1944" s="1526" t="s">
        <v>5902</v>
      </c>
      <c r="D1944" s="1523">
        <v>0</v>
      </c>
      <c r="E1944" s="1523">
        <v>0</v>
      </c>
      <c r="F1944" s="1524">
        <v>0</v>
      </c>
      <c r="G1944" s="1537" t="s">
        <v>5902</v>
      </c>
      <c r="H1944" s="1521">
        <v>0</v>
      </c>
      <c r="I1944" s="1521">
        <v>0</v>
      </c>
      <c r="J1944" s="1538">
        <v>0</v>
      </c>
      <c r="K1944" s="1525"/>
      <c r="L1944" s="1519">
        <v>13215010701</v>
      </c>
      <c r="M1944" s="1520">
        <v>0</v>
      </c>
      <c r="N1944" s="1520">
        <v>0</v>
      </c>
      <c r="O1944" s="1521">
        <v>0</v>
      </c>
    </row>
    <row r="1945" spans="3:15" ht="13.5">
      <c r="C1945" s="1526" t="s">
        <v>5903</v>
      </c>
      <c r="D1945" s="1523">
        <v>0</v>
      </c>
      <c r="E1945" s="1523">
        <v>0</v>
      </c>
      <c r="F1945" s="1524">
        <v>0</v>
      </c>
      <c r="G1945" s="1537" t="s">
        <v>5903</v>
      </c>
      <c r="H1945" s="1521">
        <v>1</v>
      </c>
      <c r="I1945" s="1521">
        <v>0</v>
      </c>
      <c r="J1945" s="1538">
        <v>0</v>
      </c>
      <c r="K1945" s="1525"/>
      <c r="L1945" s="1519">
        <v>13215010702</v>
      </c>
      <c r="M1945" s="1520">
        <v>1</v>
      </c>
      <c r="N1945" s="1520">
        <v>0</v>
      </c>
      <c r="O1945" s="1521">
        <v>0</v>
      </c>
    </row>
    <row r="1946" spans="3:15" ht="13.5">
      <c r="C1946" s="1526" t="s">
        <v>5904</v>
      </c>
      <c r="D1946" s="1523">
        <v>0</v>
      </c>
      <c r="E1946" s="1523">
        <v>0</v>
      </c>
      <c r="F1946" s="1524">
        <v>0</v>
      </c>
      <c r="G1946" s="1537" t="s">
        <v>5904</v>
      </c>
      <c r="H1946" s="1521">
        <v>0</v>
      </c>
      <c r="I1946" s="1521">
        <v>0</v>
      </c>
      <c r="J1946" s="1538">
        <v>0</v>
      </c>
      <c r="K1946" s="1525"/>
      <c r="L1946" s="1519">
        <v>13215010703</v>
      </c>
      <c r="M1946" s="1520">
        <v>0</v>
      </c>
      <c r="N1946" s="1520">
        <v>0</v>
      </c>
      <c r="O1946" s="1521">
        <v>0</v>
      </c>
    </row>
    <row r="1947" spans="3:15" ht="13.5">
      <c r="C1947" s="1526" t="s">
        <v>5905</v>
      </c>
      <c r="D1947" s="1523">
        <v>0</v>
      </c>
      <c r="E1947" s="1523">
        <v>1</v>
      </c>
      <c r="F1947" s="1524">
        <v>1</v>
      </c>
      <c r="G1947" s="1537" t="s">
        <v>5905</v>
      </c>
      <c r="H1947" s="1521">
        <v>0</v>
      </c>
      <c r="I1947" s="1521" t="s">
        <v>4096</v>
      </c>
      <c r="J1947" s="1538">
        <v>0</v>
      </c>
      <c r="K1947" s="1525"/>
      <c r="L1947" s="1519">
        <v>13215010801</v>
      </c>
      <c r="M1947" s="1520">
        <v>0</v>
      </c>
      <c r="N1947" s="1520">
        <v>1</v>
      </c>
      <c r="O1947" s="1521">
        <v>1</v>
      </c>
    </row>
    <row r="1948" spans="3:15" ht="13.5">
      <c r="C1948" s="1526" t="s">
        <v>5906</v>
      </c>
      <c r="D1948" s="1523">
        <v>0</v>
      </c>
      <c r="E1948" s="1523">
        <v>1</v>
      </c>
      <c r="F1948" s="1524">
        <v>1</v>
      </c>
      <c r="G1948" s="1537" t="s">
        <v>5906</v>
      </c>
      <c r="H1948" s="1521">
        <v>1</v>
      </c>
      <c r="I1948" s="1521" t="s">
        <v>4096</v>
      </c>
      <c r="J1948" s="1538">
        <v>1</v>
      </c>
      <c r="K1948" s="1525"/>
      <c r="L1948" s="1519">
        <v>13215010802</v>
      </c>
      <c r="M1948" s="1520">
        <v>1</v>
      </c>
      <c r="N1948" s="1520">
        <v>1</v>
      </c>
      <c r="O1948" s="1521">
        <v>1</v>
      </c>
    </row>
    <row r="1949" spans="3:15" ht="13.5">
      <c r="C1949" s="1526" t="s">
        <v>5907</v>
      </c>
      <c r="D1949" s="1523">
        <v>0</v>
      </c>
      <c r="E1949" s="1523">
        <v>0</v>
      </c>
      <c r="F1949" s="1524">
        <v>0</v>
      </c>
      <c r="G1949" s="1537" t="s">
        <v>5907</v>
      </c>
      <c r="H1949" s="1521">
        <v>0</v>
      </c>
      <c r="I1949" s="1521">
        <v>0</v>
      </c>
      <c r="J1949" s="1538">
        <v>0</v>
      </c>
      <c r="K1949" s="1525"/>
      <c r="L1949" s="1519">
        <v>13215011100</v>
      </c>
      <c r="M1949" s="1520">
        <v>0</v>
      </c>
      <c r="N1949" s="1520">
        <v>0</v>
      </c>
      <c r="O1949" s="1521">
        <v>0</v>
      </c>
    </row>
    <row r="1950" spans="3:15" ht="13.5">
      <c r="C1950" s="1526" t="s">
        <v>5908</v>
      </c>
      <c r="D1950" s="1523">
        <v>0</v>
      </c>
      <c r="E1950" s="1523">
        <v>0</v>
      </c>
      <c r="F1950" s="1524">
        <v>0</v>
      </c>
      <c r="G1950" s="1537" t="s">
        <v>5908</v>
      </c>
      <c r="H1950" s="1521">
        <v>0</v>
      </c>
      <c r="I1950" s="1521">
        <v>0</v>
      </c>
      <c r="J1950" s="1538">
        <v>0</v>
      </c>
      <c r="K1950" s="1525"/>
      <c r="L1950" s="1519">
        <v>13215011200</v>
      </c>
      <c r="M1950" s="1520">
        <v>0</v>
      </c>
      <c r="N1950" s="1520">
        <v>0</v>
      </c>
      <c r="O1950" s="1521">
        <v>0</v>
      </c>
    </row>
    <row r="1951" spans="3:15" ht="13.5">
      <c r="C1951" s="1526" t="s">
        <v>5909</v>
      </c>
      <c r="D1951" s="1523">
        <v>0</v>
      </c>
      <c r="E1951" s="1523">
        <v>0</v>
      </c>
      <c r="F1951" s="1524">
        <v>0</v>
      </c>
      <c r="G1951" s="1537" t="s">
        <v>5909</v>
      </c>
      <c r="H1951" s="1521">
        <v>0</v>
      </c>
      <c r="I1951" s="1521">
        <v>0</v>
      </c>
      <c r="J1951" s="1538">
        <v>0</v>
      </c>
      <c r="K1951" s="1525"/>
      <c r="L1951" s="1519">
        <v>13215011400</v>
      </c>
      <c r="M1951" s="1520">
        <v>0</v>
      </c>
      <c r="N1951" s="1520">
        <v>0</v>
      </c>
      <c r="O1951" s="1521">
        <v>0</v>
      </c>
    </row>
    <row r="1952" spans="3:15" ht="13.5">
      <c r="C1952" s="1526" t="s">
        <v>5910</v>
      </c>
      <c r="D1952" s="1523">
        <v>0</v>
      </c>
      <c r="E1952" s="1523">
        <v>0</v>
      </c>
      <c r="F1952" s="1524">
        <v>0</v>
      </c>
      <c r="G1952" s="1537" t="s">
        <v>5910</v>
      </c>
      <c r="H1952" s="1521">
        <v>0</v>
      </c>
      <c r="I1952" s="1521">
        <v>0</v>
      </c>
      <c r="J1952" s="1538">
        <v>0</v>
      </c>
      <c r="K1952" s="1525"/>
      <c r="L1952" s="1519">
        <v>13215011500</v>
      </c>
      <c r="M1952" s="1520">
        <v>0</v>
      </c>
      <c r="N1952" s="1520">
        <v>0</v>
      </c>
      <c r="O1952" s="1521">
        <v>0</v>
      </c>
    </row>
    <row r="1953" spans="3:15" ht="13.5">
      <c r="C1953" s="1526" t="s">
        <v>5911</v>
      </c>
      <c r="D1953" s="1523">
        <v>0</v>
      </c>
      <c r="E1953" s="1523">
        <v>1</v>
      </c>
      <c r="F1953" s="1524">
        <v>1</v>
      </c>
      <c r="G1953" s="1537" t="s">
        <v>5911</v>
      </c>
      <c r="H1953" s="1521">
        <v>0</v>
      </c>
      <c r="I1953" s="1521">
        <v>1</v>
      </c>
      <c r="J1953" s="1538">
        <v>1</v>
      </c>
      <c r="K1953" s="1525"/>
      <c r="L1953" s="1519">
        <v>13217100100</v>
      </c>
      <c r="M1953" s="1520">
        <v>0</v>
      </c>
      <c r="N1953" s="1520">
        <v>1</v>
      </c>
      <c r="O1953" s="1521">
        <v>1</v>
      </c>
    </row>
    <row r="1954" spans="3:15" ht="13.5">
      <c r="C1954" s="1526" t="s">
        <v>5912</v>
      </c>
      <c r="D1954" s="1523">
        <v>1</v>
      </c>
      <c r="E1954" s="1523">
        <v>1</v>
      </c>
      <c r="F1954" s="1524">
        <v>2</v>
      </c>
      <c r="G1954" s="1537" t="s">
        <v>5912</v>
      </c>
      <c r="H1954" s="1521">
        <v>1</v>
      </c>
      <c r="I1954" s="1521">
        <v>1</v>
      </c>
      <c r="J1954" s="1538">
        <v>2</v>
      </c>
      <c r="K1954" s="1525"/>
      <c r="L1954" s="1519">
        <v>13217100201</v>
      </c>
      <c r="M1954" s="1520">
        <v>1</v>
      </c>
      <c r="N1954" s="1520">
        <v>1</v>
      </c>
      <c r="O1954" s="1521">
        <v>2</v>
      </c>
    </row>
    <row r="1955" spans="3:15" ht="13.5">
      <c r="C1955" s="1526" t="s">
        <v>5913</v>
      </c>
      <c r="D1955" s="1523">
        <v>1</v>
      </c>
      <c r="E1955" s="1523">
        <v>1</v>
      </c>
      <c r="F1955" s="1524">
        <v>2</v>
      </c>
      <c r="G1955" s="1537" t="s">
        <v>5913</v>
      </c>
      <c r="H1955" s="1521">
        <v>1</v>
      </c>
      <c r="I1955" s="1521">
        <v>1</v>
      </c>
      <c r="J1955" s="1538">
        <v>2</v>
      </c>
      <c r="K1955" s="1525"/>
      <c r="L1955" s="1519">
        <v>13217100202</v>
      </c>
      <c r="M1955" s="1520">
        <v>1</v>
      </c>
      <c r="N1955" s="1520">
        <v>1</v>
      </c>
      <c r="O1955" s="1521">
        <v>2</v>
      </c>
    </row>
    <row r="1956" spans="3:15" ht="13.5">
      <c r="C1956" s="1526" t="s">
        <v>5914</v>
      </c>
      <c r="D1956" s="1523">
        <v>0</v>
      </c>
      <c r="E1956" s="1523">
        <v>0</v>
      </c>
      <c r="F1956" s="1524">
        <v>0</v>
      </c>
      <c r="G1956" s="1537" t="s">
        <v>5914</v>
      </c>
      <c r="H1956" s="1521">
        <v>0</v>
      </c>
      <c r="I1956" s="1521">
        <v>1</v>
      </c>
      <c r="J1956" s="1538">
        <v>1</v>
      </c>
      <c r="K1956" s="1525"/>
      <c r="L1956" s="1519">
        <v>13217100300</v>
      </c>
      <c r="M1956" s="1520">
        <v>0</v>
      </c>
      <c r="N1956" s="1520">
        <v>1</v>
      </c>
      <c r="O1956" s="1521">
        <v>1</v>
      </c>
    </row>
    <row r="1957" spans="3:15" ht="13.5">
      <c r="C1957" s="1526" t="s">
        <v>5915</v>
      </c>
      <c r="D1957" s="1523">
        <v>0</v>
      </c>
      <c r="E1957" s="1523">
        <v>0</v>
      </c>
      <c r="F1957" s="1524">
        <v>0</v>
      </c>
      <c r="G1957" s="1537" t="s">
        <v>5915</v>
      </c>
      <c r="H1957" s="1521">
        <v>0</v>
      </c>
      <c r="I1957" s="1521">
        <v>0</v>
      </c>
      <c r="J1957" s="1538">
        <v>0</v>
      </c>
      <c r="K1957" s="1525"/>
      <c r="L1957" s="1519">
        <v>13217100400</v>
      </c>
      <c r="M1957" s="1520">
        <v>0</v>
      </c>
      <c r="N1957" s="1520">
        <v>0</v>
      </c>
      <c r="O1957" s="1521">
        <v>0</v>
      </c>
    </row>
    <row r="1958" spans="3:15" ht="13.5">
      <c r="C1958" s="1526" t="s">
        <v>5916</v>
      </c>
      <c r="D1958" s="1523">
        <v>0</v>
      </c>
      <c r="E1958" s="1523">
        <v>0</v>
      </c>
      <c r="F1958" s="1524">
        <v>0</v>
      </c>
      <c r="G1958" s="1537" t="s">
        <v>5916</v>
      </c>
      <c r="H1958" s="1521">
        <v>0</v>
      </c>
      <c r="I1958" s="1521">
        <v>1</v>
      </c>
      <c r="J1958" s="1538">
        <v>1</v>
      </c>
      <c r="K1958" s="1525"/>
      <c r="L1958" s="1519">
        <v>13217100501</v>
      </c>
      <c r="M1958" s="1520">
        <v>0</v>
      </c>
      <c r="N1958" s="1520">
        <v>1</v>
      </c>
      <c r="O1958" s="1521">
        <v>1</v>
      </c>
    </row>
    <row r="1959" spans="3:15" ht="13.5">
      <c r="C1959" s="1526" t="s">
        <v>5917</v>
      </c>
      <c r="D1959" s="1523">
        <v>0</v>
      </c>
      <c r="E1959" s="1523">
        <v>0</v>
      </c>
      <c r="F1959" s="1524">
        <v>0</v>
      </c>
      <c r="G1959" s="1537" t="s">
        <v>5917</v>
      </c>
      <c r="H1959" s="1521">
        <v>0</v>
      </c>
      <c r="I1959" s="1521">
        <v>0</v>
      </c>
      <c r="J1959" s="1538">
        <v>0</v>
      </c>
      <c r="K1959" s="1525"/>
      <c r="L1959" s="1519">
        <v>13217100502</v>
      </c>
      <c r="M1959" s="1520">
        <v>0</v>
      </c>
      <c r="N1959" s="1520">
        <v>0</v>
      </c>
      <c r="O1959" s="1521">
        <v>0</v>
      </c>
    </row>
    <row r="1960" spans="3:15" ht="13.5">
      <c r="C1960" s="1526" t="s">
        <v>5918</v>
      </c>
      <c r="D1960" s="1523">
        <v>0</v>
      </c>
      <c r="E1960" s="1523">
        <v>0</v>
      </c>
      <c r="F1960" s="1524">
        <v>0</v>
      </c>
      <c r="G1960" s="1537" t="s">
        <v>5918</v>
      </c>
      <c r="H1960" s="1521">
        <v>0</v>
      </c>
      <c r="I1960" s="1521">
        <v>0</v>
      </c>
      <c r="J1960" s="1538">
        <v>0</v>
      </c>
      <c r="K1960" s="1525"/>
      <c r="L1960" s="1519">
        <v>13217100600</v>
      </c>
      <c r="M1960" s="1520">
        <v>0</v>
      </c>
      <c r="N1960" s="1520">
        <v>0</v>
      </c>
      <c r="O1960" s="1521">
        <v>0</v>
      </c>
    </row>
    <row r="1961" spans="3:15" ht="13.5">
      <c r="C1961" s="1526" t="s">
        <v>5919</v>
      </c>
      <c r="D1961" s="1523">
        <v>0</v>
      </c>
      <c r="E1961" s="1523">
        <v>0</v>
      </c>
      <c r="F1961" s="1524">
        <v>0</v>
      </c>
      <c r="G1961" s="1537" t="s">
        <v>5919</v>
      </c>
      <c r="H1961" s="1521">
        <v>0</v>
      </c>
      <c r="I1961" s="1521">
        <v>0</v>
      </c>
      <c r="J1961" s="1538">
        <v>0</v>
      </c>
      <c r="K1961" s="1525"/>
      <c r="L1961" s="1519">
        <v>13217100700</v>
      </c>
      <c r="M1961" s="1520">
        <v>0</v>
      </c>
      <c r="N1961" s="1520">
        <v>0</v>
      </c>
      <c r="O1961" s="1521">
        <v>0</v>
      </c>
    </row>
    <row r="1962" spans="3:15" ht="13.5">
      <c r="C1962" s="1526" t="s">
        <v>5920</v>
      </c>
      <c r="D1962" s="1523">
        <v>0</v>
      </c>
      <c r="E1962" s="1523">
        <v>1</v>
      </c>
      <c r="F1962" s="1524">
        <v>1</v>
      </c>
      <c r="G1962" s="1537" t="s">
        <v>5920</v>
      </c>
      <c r="H1962" s="1521">
        <v>0</v>
      </c>
      <c r="I1962" s="1521">
        <v>0</v>
      </c>
      <c r="J1962" s="1538">
        <v>0</v>
      </c>
      <c r="K1962" s="1525"/>
      <c r="L1962" s="1519">
        <v>13217100800</v>
      </c>
      <c r="M1962" s="1520">
        <v>0</v>
      </c>
      <c r="N1962" s="1520">
        <v>1</v>
      </c>
      <c r="O1962" s="1521">
        <v>1</v>
      </c>
    </row>
    <row r="1963" spans="3:15" ht="13.5">
      <c r="C1963" s="1526" t="s">
        <v>5921</v>
      </c>
      <c r="D1963" s="1523">
        <v>0</v>
      </c>
      <c r="E1963" s="1523">
        <v>1</v>
      </c>
      <c r="F1963" s="1524">
        <v>1</v>
      </c>
      <c r="G1963" s="1537" t="s">
        <v>5921</v>
      </c>
      <c r="H1963" s="1521">
        <v>0</v>
      </c>
      <c r="I1963" s="1521">
        <v>1</v>
      </c>
      <c r="J1963" s="1538">
        <v>1</v>
      </c>
      <c r="K1963" s="1525"/>
      <c r="L1963" s="1519">
        <v>13217100901</v>
      </c>
      <c r="M1963" s="1520">
        <v>0</v>
      </c>
      <c r="N1963" s="1520">
        <v>1</v>
      </c>
      <c r="O1963" s="1521">
        <v>1</v>
      </c>
    </row>
    <row r="1964" spans="3:15" ht="13.5">
      <c r="C1964" s="1526" t="s">
        <v>5922</v>
      </c>
      <c r="D1964" s="1523">
        <v>0</v>
      </c>
      <c r="E1964" s="1523">
        <v>0</v>
      </c>
      <c r="F1964" s="1524">
        <v>0</v>
      </c>
      <c r="G1964" s="1537" t="s">
        <v>5922</v>
      </c>
      <c r="H1964" s="1521">
        <v>0</v>
      </c>
      <c r="I1964" s="1521">
        <v>0</v>
      </c>
      <c r="J1964" s="1538">
        <v>0</v>
      </c>
      <c r="K1964" s="1525"/>
      <c r="L1964" s="1519">
        <v>13217100902</v>
      </c>
      <c r="M1964" s="1520">
        <v>0</v>
      </c>
      <c r="N1964" s="1520">
        <v>0</v>
      </c>
      <c r="O1964" s="1521">
        <v>0</v>
      </c>
    </row>
    <row r="1965" spans="3:15" ht="13.5">
      <c r="C1965" s="1526" t="s">
        <v>5923</v>
      </c>
      <c r="D1965" s="1523">
        <v>0</v>
      </c>
      <c r="E1965" s="1523">
        <v>0</v>
      </c>
      <c r="F1965" s="1524">
        <v>0</v>
      </c>
      <c r="G1965" s="1537" t="s">
        <v>5923</v>
      </c>
      <c r="H1965" s="1521">
        <v>0</v>
      </c>
      <c r="I1965" s="1521">
        <v>0</v>
      </c>
      <c r="J1965" s="1538">
        <v>0</v>
      </c>
      <c r="K1965" s="1525"/>
      <c r="L1965" s="1519">
        <v>13217100903</v>
      </c>
      <c r="M1965" s="1520">
        <v>0</v>
      </c>
      <c r="N1965" s="1520">
        <v>0</v>
      </c>
      <c r="O1965" s="1521">
        <v>0</v>
      </c>
    </row>
    <row r="1966" spans="3:15" ht="13.5">
      <c r="C1966" s="1526" t="s">
        <v>5924</v>
      </c>
      <c r="D1966" s="1523">
        <v>1</v>
      </c>
      <c r="E1966" s="1523">
        <v>1</v>
      </c>
      <c r="F1966" s="1524">
        <v>2</v>
      </c>
      <c r="G1966" s="1537" t="s">
        <v>5924</v>
      </c>
      <c r="H1966" s="1521">
        <v>1</v>
      </c>
      <c r="I1966" s="1521">
        <v>1</v>
      </c>
      <c r="J1966" s="1538">
        <v>2</v>
      </c>
      <c r="K1966" s="1525"/>
      <c r="L1966" s="1519">
        <v>13219030100</v>
      </c>
      <c r="M1966" s="1520">
        <v>1</v>
      </c>
      <c r="N1966" s="1520">
        <v>1</v>
      </c>
      <c r="O1966" s="1521">
        <v>2</v>
      </c>
    </row>
    <row r="1967" spans="3:15" ht="13.5">
      <c r="C1967" s="1526" t="s">
        <v>5925</v>
      </c>
      <c r="D1967" s="1523">
        <v>1</v>
      </c>
      <c r="E1967" s="1523">
        <v>1</v>
      </c>
      <c r="F1967" s="1524">
        <v>2</v>
      </c>
      <c r="G1967" s="1537" t="s">
        <v>5925</v>
      </c>
      <c r="H1967" s="1521">
        <v>1</v>
      </c>
      <c r="I1967" s="1521">
        <v>1</v>
      </c>
      <c r="J1967" s="1538">
        <v>2</v>
      </c>
      <c r="K1967" s="1525"/>
      <c r="L1967" s="1519">
        <v>13219030200</v>
      </c>
      <c r="M1967" s="1520">
        <v>1</v>
      </c>
      <c r="N1967" s="1520">
        <v>1</v>
      </c>
      <c r="O1967" s="1521">
        <v>2</v>
      </c>
    </row>
    <row r="1968" spans="3:15" ht="13.5">
      <c r="C1968" s="1526" t="s">
        <v>5926</v>
      </c>
      <c r="D1968" s="1523">
        <v>1</v>
      </c>
      <c r="E1968" s="1523">
        <v>1</v>
      </c>
      <c r="F1968" s="1524">
        <v>2</v>
      </c>
      <c r="G1968" s="1537" t="s">
        <v>5926</v>
      </c>
      <c r="H1968" s="1521">
        <v>1</v>
      </c>
      <c r="I1968" s="1521">
        <v>1</v>
      </c>
      <c r="J1968" s="1538">
        <v>2</v>
      </c>
      <c r="K1968" s="1525"/>
      <c r="L1968" s="1519">
        <v>13219030300</v>
      </c>
      <c r="M1968" s="1520">
        <v>1</v>
      </c>
      <c r="N1968" s="1520">
        <v>1</v>
      </c>
      <c r="O1968" s="1521">
        <v>2</v>
      </c>
    </row>
    <row r="1969" spans="3:15" ht="13.5">
      <c r="C1969" s="1526" t="s">
        <v>5927</v>
      </c>
      <c r="D1969" s="1523">
        <v>1</v>
      </c>
      <c r="E1969" s="1523">
        <v>1</v>
      </c>
      <c r="F1969" s="1524">
        <v>2</v>
      </c>
      <c r="G1969" s="1537" t="s">
        <v>5927</v>
      </c>
      <c r="H1969" s="1521">
        <v>1</v>
      </c>
      <c r="I1969" s="1521">
        <v>1</v>
      </c>
      <c r="J1969" s="1538">
        <v>2</v>
      </c>
      <c r="K1969" s="1525"/>
      <c r="L1969" s="1519">
        <v>13219030400</v>
      </c>
      <c r="M1969" s="1520">
        <v>1</v>
      </c>
      <c r="N1969" s="1520">
        <v>1</v>
      </c>
      <c r="O1969" s="1521">
        <v>2</v>
      </c>
    </row>
    <row r="1970" spans="3:15" ht="13.5">
      <c r="C1970" s="1526" t="s">
        <v>5928</v>
      </c>
      <c r="D1970" s="1523">
        <v>1</v>
      </c>
      <c r="E1970" s="1523">
        <v>1</v>
      </c>
      <c r="F1970" s="1524">
        <v>2</v>
      </c>
      <c r="G1970" s="1537" t="s">
        <v>5928</v>
      </c>
      <c r="H1970" s="1521">
        <v>1</v>
      </c>
      <c r="I1970" s="1521">
        <v>1</v>
      </c>
      <c r="J1970" s="1538">
        <v>2</v>
      </c>
      <c r="K1970" s="1525"/>
      <c r="L1970" s="1519">
        <v>13219030500</v>
      </c>
      <c r="M1970" s="1520">
        <v>1</v>
      </c>
      <c r="N1970" s="1520">
        <v>1</v>
      </c>
      <c r="O1970" s="1521">
        <v>2</v>
      </c>
    </row>
    <row r="1971" spans="3:15" ht="13.5">
      <c r="C1971" s="1526" t="s">
        <v>5929</v>
      </c>
      <c r="D1971" s="1523">
        <v>1</v>
      </c>
      <c r="E1971" s="1523">
        <v>1</v>
      </c>
      <c r="F1971" s="1524">
        <v>2</v>
      </c>
      <c r="G1971" s="1537" t="s">
        <v>5929</v>
      </c>
      <c r="H1971" s="1521">
        <v>1</v>
      </c>
      <c r="I1971" s="1521">
        <v>1</v>
      </c>
      <c r="J1971" s="1538">
        <v>2</v>
      </c>
      <c r="K1971" s="1525"/>
      <c r="L1971" s="1519">
        <v>13219030600</v>
      </c>
      <c r="M1971" s="1520">
        <v>1</v>
      </c>
      <c r="N1971" s="1520">
        <v>1</v>
      </c>
      <c r="O1971" s="1521">
        <v>2</v>
      </c>
    </row>
    <row r="1972" spans="3:15" ht="13.5">
      <c r="C1972" s="1526" t="s">
        <v>5930</v>
      </c>
      <c r="D1972" s="1523">
        <v>0</v>
      </c>
      <c r="E1972" s="1523">
        <v>0</v>
      </c>
      <c r="F1972" s="1524">
        <v>0</v>
      </c>
      <c r="G1972" s="1537" t="s">
        <v>5930</v>
      </c>
      <c r="H1972" s="1521">
        <v>0</v>
      </c>
      <c r="I1972" s="1521">
        <v>0</v>
      </c>
      <c r="J1972" s="1538">
        <v>0</v>
      </c>
      <c r="K1972" s="1525"/>
      <c r="L1972" s="1519">
        <v>13221960100</v>
      </c>
      <c r="M1972" s="1520">
        <v>0</v>
      </c>
      <c r="N1972" s="1520">
        <v>0</v>
      </c>
      <c r="O1972" s="1521">
        <v>0</v>
      </c>
    </row>
    <row r="1973" spans="3:15" ht="13.5">
      <c r="C1973" s="1526" t="s">
        <v>5931</v>
      </c>
      <c r="D1973" s="1523">
        <v>1</v>
      </c>
      <c r="E1973" s="1523">
        <v>1</v>
      </c>
      <c r="F1973" s="1524">
        <v>2</v>
      </c>
      <c r="G1973" s="1537" t="s">
        <v>5931</v>
      </c>
      <c r="H1973" s="1521">
        <v>1</v>
      </c>
      <c r="I1973" s="1521">
        <v>1</v>
      </c>
      <c r="J1973" s="1538">
        <v>2</v>
      </c>
      <c r="K1973" s="1525"/>
      <c r="L1973" s="1519">
        <v>13221960201</v>
      </c>
      <c r="M1973" s="1520">
        <v>1</v>
      </c>
      <c r="N1973" s="1520">
        <v>1</v>
      </c>
      <c r="O1973" s="1521">
        <v>2</v>
      </c>
    </row>
    <row r="1974" spans="3:15" ht="13.5">
      <c r="C1974" s="1526" t="s">
        <v>5932</v>
      </c>
      <c r="D1974" s="1523">
        <v>0</v>
      </c>
      <c r="E1974" s="1523">
        <v>0</v>
      </c>
      <c r="F1974" s="1524">
        <v>0</v>
      </c>
      <c r="G1974" s="1537" t="s">
        <v>5932</v>
      </c>
      <c r="H1974" s="1521">
        <v>0</v>
      </c>
      <c r="I1974" s="1521">
        <v>1</v>
      </c>
      <c r="J1974" s="1538">
        <v>1</v>
      </c>
      <c r="K1974" s="1525"/>
      <c r="L1974" s="1519">
        <v>13221960202</v>
      </c>
      <c r="M1974" s="1520">
        <v>0</v>
      </c>
      <c r="N1974" s="1520">
        <v>1</v>
      </c>
      <c r="O1974" s="1521">
        <v>1</v>
      </c>
    </row>
    <row r="1975" spans="3:15" ht="13.5">
      <c r="C1975" s="1526" t="s">
        <v>5933</v>
      </c>
      <c r="D1975" s="1523">
        <v>0</v>
      </c>
      <c r="E1975" s="1523">
        <v>0</v>
      </c>
      <c r="F1975" s="1524">
        <v>0</v>
      </c>
      <c r="G1975" s="1537" t="s">
        <v>5933</v>
      </c>
      <c r="H1975" s="1521">
        <v>0</v>
      </c>
      <c r="I1975" s="1521">
        <v>0</v>
      </c>
      <c r="J1975" s="1538">
        <v>0</v>
      </c>
      <c r="K1975" s="1525"/>
      <c r="L1975" s="1519">
        <v>13221960300</v>
      </c>
      <c r="M1975" s="1520">
        <v>0</v>
      </c>
      <c r="N1975" s="1520">
        <v>0</v>
      </c>
      <c r="O1975" s="1521">
        <v>0</v>
      </c>
    </row>
    <row r="1976" spans="3:15" ht="13.5">
      <c r="C1976" s="1526" t="s">
        <v>5934</v>
      </c>
      <c r="D1976" s="1523">
        <v>1</v>
      </c>
      <c r="E1976" s="1523">
        <v>1</v>
      </c>
      <c r="F1976" s="1524">
        <v>2</v>
      </c>
      <c r="G1976" s="1537" t="s">
        <v>5934</v>
      </c>
      <c r="H1976" s="1521">
        <v>1</v>
      </c>
      <c r="I1976" s="1521">
        <v>1</v>
      </c>
      <c r="J1976" s="1538">
        <v>2</v>
      </c>
      <c r="K1976" s="1525"/>
      <c r="L1976" s="1519">
        <v>13223120101</v>
      </c>
      <c r="M1976" s="1520">
        <v>1</v>
      </c>
      <c r="N1976" s="1520">
        <v>1</v>
      </c>
      <c r="O1976" s="1521">
        <v>2</v>
      </c>
    </row>
    <row r="1977" spans="3:15" ht="13.5">
      <c r="C1977" s="1526" t="s">
        <v>5935</v>
      </c>
      <c r="D1977" s="1523">
        <v>1</v>
      </c>
      <c r="E1977" s="1523">
        <v>1</v>
      </c>
      <c r="F1977" s="1524">
        <v>2</v>
      </c>
      <c r="G1977" s="1537" t="s">
        <v>5935</v>
      </c>
      <c r="H1977" s="1521">
        <v>1</v>
      </c>
      <c r="I1977" s="1521">
        <v>1</v>
      </c>
      <c r="J1977" s="1538">
        <v>2</v>
      </c>
      <c r="K1977" s="1525"/>
      <c r="L1977" s="1519">
        <v>13223120102</v>
      </c>
      <c r="M1977" s="1520">
        <v>1</v>
      </c>
      <c r="N1977" s="1520">
        <v>1</v>
      </c>
      <c r="O1977" s="1521">
        <v>2</v>
      </c>
    </row>
    <row r="1978" spans="3:15" ht="13.5">
      <c r="C1978" s="1526" t="s">
        <v>5936</v>
      </c>
      <c r="D1978" s="1523">
        <v>1</v>
      </c>
      <c r="E1978" s="1523">
        <v>1</v>
      </c>
      <c r="F1978" s="1524">
        <v>2</v>
      </c>
      <c r="G1978" s="1537" t="s">
        <v>5936</v>
      </c>
      <c r="H1978" s="1521">
        <v>1</v>
      </c>
      <c r="I1978" s="1521" t="s">
        <v>4096</v>
      </c>
      <c r="J1978" s="1538">
        <v>1</v>
      </c>
      <c r="K1978" s="1525"/>
      <c r="L1978" s="1519">
        <v>13223120103</v>
      </c>
      <c r="M1978" s="1520">
        <v>1</v>
      </c>
      <c r="N1978" s="1520">
        <v>1</v>
      </c>
      <c r="O1978" s="1521">
        <v>2</v>
      </c>
    </row>
    <row r="1979" spans="3:15" ht="13.5">
      <c r="C1979" s="1526" t="s">
        <v>5937</v>
      </c>
      <c r="D1979" s="1523">
        <v>1</v>
      </c>
      <c r="E1979" s="1523">
        <v>1</v>
      </c>
      <c r="F1979" s="1524">
        <v>2</v>
      </c>
      <c r="G1979" s="1537" t="s">
        <v>5937</v>
      </c>
      <c r="H1979" s="1521">
        <v>1</v>
      </c>
      <c r="I1979" s="1521" t="s">
        <v>4096</v>
      </c>
      <c r="J1979" s="1538">
        <v>1</v>
      </c>
      <c r="K1979" s="1525"/>
      <c r="L1979" s="1519">
        <v>13223120104</v>
      </c>
      <c r="M1979" s="1520">
        <v>1</v>
      </c>
      <c r="N1979" s="1520">
        <v>1</v>
      </c>
      <c r="O1979" s="1521">
        <v>2</v>
      </c>
    </row>
    <row r="1980" spans="3:15" ht="13.5">
      <c r="C1980" s="1526" t="s">
        <v>5938</v>
      </c>
      <c r="D1980" s="1523">
        <v>1</v>
      </c>
      <c r="E1980" s="1523">
        <v>1</v>
      </c>
      <c r="F1980" s="1524">
        <v>2</v>
      </c>
      <c r="G1980" s="1537" t="s">
        <v>5938</v>
      </c>
      <c r="H1980" s="1521">
        <v>1</v>
      </c>
      <c r="I1980" s="1521">
        <v>1</v>
      </c>
      <c r="J1980" s="1538">
        <v>2</v>
      </c>
      <c r="K1980" s="1525"/>
      <c r="L1980" s="1519">
        <v>13223120202</v>
      </c>
      <c r="M1980" s="1520">
        <v>1</v>
      </c>
      <c r="N1980" s="1520">
        <v>1</v>
      </c>
      <c r="O1980" s="1521">
        <v>2</v>
      </c>
    </row>
    <row r="1981" spans="3:15" ht="13.5">
      <c r="C1981" s="1526" t="s">
        <v>5939</v>
      </c>
      <c r="D1981" s="1523">
        <v>1</v>
      </c>
      <c r="E1981" s="1523">
        <v>1</v>
      </c>
      <c r="F1981" s="1524">
        <v>2</v>
      </c>
      <c r="G1981" s="1537" t="s">
        <v>5939</v>
      </c>
      <c r="H1981" s="1521">
        <v>1</v>
      </c>
      <c r="I1981" s="1521">
        <v>1</v>
      </c>
      <c r="J1981" s="1538">
        <v>2</v>
      </c>
      <c r="K1981" s="1525"/>
      <c r="L1981" s="1519">
        <v>13223120203</v>
      </c>
      <c r="M1981" s="1520">
        <v>1</v>
      </c>
      <c r="N1981" s="1520">
        <v>1</v>
      </c>
      <c r="O1981" s="1521">
        <v>2</v>
      </c>
    </row>
    <row r="1982" spans="3:15" ht="13.5">
      <c r="C1982" s="1526" t="s">
        <v>5940</v>
      </c>
      <c r="D1982" s="1523">
        <v>1</v>
      </c>
      <c r="E1982" s="1523">
        <v>1</v>
      </c>
      <c r="F1982" s="1524">
        <v>2</v>
      </c>
      <c r="G1982" s="1537" t="s">
        <v>5940</v>
      </c>
      <c r="H1982" s="1521">
        <v>1</v>
      </c>
      <c r="I1982" s="1521">
        <v>1</v>
      </c>
      <c r="J1982" s="1538">
        <v>2</v>
      </c>
      <c r="K1982" s="1525"/>
      <c r="L1982" s="1519">
        <v>13223120204</v>
      </c>
      <c r="M1982" s="1520">
        <v>1</v>
      </c>
      <c r="N1982" s="1520">
        <v>1</v>
      </c>
      <c r="O1982" s="1521">
        <v>2</v>
      </c>
    </row>
    <row r="1983" spans="3:15" ht="13.5">
      <c r="C1983" s="1526" t="s">
        <v>5941</v>
      </c>
      <c r="D1983" s="1523">
        <v>1</v>
      </c>
      <c r="E1983" s="1523">
        <v>0</v>
      </c>
      <c r="F1983" s="1524">
        <v>1</v>
      </c>
      <c r="G1983" s="1537" t="s">
        <v>5941</v>
      </c>
      <c r="H1983" s="1521">
        <v>1</v>
      </c>
      <c r="I1983" s="1521">
        <v>1</v>
      </c>
      <c r="J1983" s="1538">
        <v>2</v>
      </c>
      <c r="K1983" s="1525"/>
      <c r="L1983" s="1519">
        <v>13223120301</v>
      </c>
      <c r="M1983" s="1520">
        <v>1</v>
      </c>
      <c r="N1983" s="1520">
        <v>1</v>
      </c>
      <c r="O1983" s="1521">
        <v>2</v>
      </c>
    </row>
    <row r="1984" spans="3:15" ht="13.5">
      <c r="C1984" s="1526" t="s">
        <v>5942</v>
      </c>
      <c r="D1984" s="1523">
        <v>1</v>
      </c>
      <c r="E1984" s="1523">
        <v>0</v>
      </c>
      <c r="F1984" s="1524">
        <v>1</v>
      </c>
      <c r="G1984" s="1537" t="s">
        <v>5942</v>
      </c>
      <c r="H1984" s="1521">
        <v>1</v>
      </c>
      <c r="I1984" s="1521">
        <v>0</v>
      </c>
      <c r="J1984" s="1538">
        <v>1</v>
      </c>
      <c r="K1984" s="1525"/>
      <c r="L1984" s="1519">
        <v>13223120302</v>
      </c>
      <c r="M1984" s="1520">
        <v>1</v>
      </c>
      <c r="N1984" s="1520">
        <v>0</v>
      </c>
      <c r="O1984" s="1521">
        <v>1</v>
      </c>
    </row>
    <row r="1985" spans="3:15" ht="13.5">
      <c r="C1985" s="1526" t="s">
        <v>5943</v>
      </c>
      <c r="D1985" s="1523">
        <v>1</v>
      </c>
      <c r="E1985" s="1523">
        <v>1</v>
      </c>
      <c r="F1985" s="1524">
        <v>2</v>
      </c>
      <c r="G1985" s="1537" t="s">
        <v>5943</v>
      </c>
      <c r="H1985" s="1521">
        <v>0</v>
      </c>
      <c r="I1985" s="1521">
        <v>0</v>
      </c>
      <c r="J1985" s="1538">
        <v>0</v>
      </c>
      <c r="K1985" s="1525"/>
      <c r="L1985" s="1519">
        <v>13223120303</v>
      </c>
      <c r="M1985" s="1520">
        <v>1</v>
      </c>
      <c r="N1985" s="1520">
        <v>1</v>
      </c>
      <c r="O1985" s="1521">
        <v>2</v>
      </c>
    </row>
    <row r="1986" spans="3:15" ht="13.5">
      <c r="C1986" s="1526" t="s">
        <v>5944</v>
      </c>
      <c r="D1986" s="1523">
        <v>0</v>
      </c>
      <c r="E1986" s="1523">
        <v>1</v>
      </c>
      <c r="F1986" s="1524">
        <v>1</v>
      </c>
      <c r="G1986" s="1537" t="s">
        <v>5944</v>
      </c>
      <c r="H1986" s="1521">
        <v>1</v>
      </c>
      <c r="I1986" s="1521">
        <v>1</v>
      </c>
      <c r="J1986" s="1538">
        <v>2</v>
      </c>
      <c r="K1986" s="1525"/>
      <c r="L1986" s="1519">
        <v>13223120400</v>
      </c>
      <c r="M1986" s="1520">
        <v>1</v>
      </c>
      <c r="N1986" s="1520">
        <v>1</v>
      </c>
      <c r="O1986" s="1521">
        <v>2</v>
      </c>
    </row>
    <row r="1987" spans="3:15" ht="13.5">
      <c r="C1987" s="1526" t="s">
        <v>5945</v>
      </c>
      <c r="D1987" s="1523">
        <v>1</v>
      </c>
      <c r="E1987" s="1523">
        <v>1</v>
      </c>
      <c r="F1987" s="1524">
        <v>2</v>
      </c>
      <c r="G1987" s="1537" t="s">
        <v>5945</v>
      </c>
      <c r="H1987" s="1521">
        <v>1</v>
      </c>
      <c r="I1987" s="1521">
        <v>1</v>
      </c>
      <c r="J1987" s="1538">
        <v>1</v>
      </c>
      <c r="K1987" s="1525"/>
      <c r="L1987" s="1519">
        <v>13223120501</v>
      </c>
      <c r="M1987" s="1520">
        <v>1</v>
      </c>
      <c r="N1987" s="1520">
        <v>1</v>
      </c>
      <c r="O1987" s="1521">
        <v>2</v>
      </c>
    </row>
    <row r="1988" spans="3:15" ht="13.5">
      <c r="C1988" s="1526" t="s">
        <v>5946</v>
      </c>
      <c r="D1988" s="1523">
        <v>1</v>
      </c>
      <c r="E1988" s="1523">
        <v>1</v>
      </c>
      <c r="F1988" s="1524">
        <v>2</v>
      </c>
      <c r="G1988" s="1537" t="s">
        <v>5946</v>
      </c>
      <c r="H1988" s="1521">
        <v>1</v>
      </c>
      <c r="I1988" s="1521">
        <v>0</v>
      </c>
      <c r="J1988" s="1538">
        <v>1</v>
      </c>
      <c r="K1988" s="1525"/>
      <c r="L1988" s="1519">
        <v>13223120502</v>
      </c>
      <c r="M1988" s="1520">
        <v>1</v>
      </c>
      <c r="N1988" s="1520">
        <v>1</v>
      </c>
      <c r="O1988" s="1521">
        <v>2</v>
      </c>
    </row>
    <row r="1989" spans="3:15" ht="13.5">
      <c r="C1989" s="1526" t="s">
        <v>5947</v>
      </c>
      <c r="D1989" s="1523">
        <v>1</v>
      </c>
      <c r="E1989" s="1523">
        <v>1</v>
      </c>
      <c r="F1989" s="1524">
        <v>2</v>
      </c>
      <c r="G1989" s="1537" t="s">
        <v>5947</v>
      </c>
      <c r="H1989" s="1521">
        <v>0</v>
      </c>
      <c r="I1989" s="1521">
        <v>1</v>
      </c>
      <c r="J1989" s="1538">
        <v>1</v>
      </c>
      <c r="K1989" s="1525"/>
      <c r="L1989" s="1519">
        <v>13223120503</v>
      </c>
      <c r="M1989" s="1520">
        <v>1</v>
      </c>
      <c r="N1989" s="1520">
        <v>1</v>
      </c>
      <c r="O1989" s="1521">
        <v>2</v>
      </c>
    </row>
    <row r="1990" spans="3:15" ht="13.5">
      <c r="C1990" s="1526" t="s">
        <v>5948</v>
      </c>
      <c r="D1990" s="1523">
        <v>1</v>
      </c>
      <c r="E1990" s="1523">
        <v>1</v>
      </c>
      <c r="F1990" s="1524">
        <v>2</v>
      </c>
      <c r="G1990" s="1537" t="s">
        <v>5948</v>
      </c>
      <c r="H1990" s="1521">
        <v>1</v>
      </c>
      <c r="I1990" s="1521">
        <v>0</v>
      </c>
      <c r="J1990" s="1538">
        <v>1</v>
      </c>
      <c r="K1990" s="1525"/>
      <c r="L1990" s="1519">
        <v>13223120601</v>
      </c>
      <c r="M1990" s="1520">
        <v>1</v>
      </c>
      <c r="N1990" s="1520">
        <v>1</v>
      </c>
      <c r="O1990" s="1521">
        <v>2</v>
      </c>
    </row>
    <row r="1991" spans="3:15" ht="13.5">
      <c r="C1991" s="1526" t="s">
        <v>5949</v>
      </c>
      <c r="D1991" s="1523">
        <v>1</v>
      </c>
      <c r="E1991" s="1523">
        <v>1</v>
      </c>
      <c r="F1991" s="1524">
        <v>2</v>
      </c>
      <c r="G1991" s="1537" t="s">
        <v>5949</v>
      </c>
      <c r="H1991" s="1521">
        <v>1</v>
      </c>
      <c r="I1991" s="1521" t="s">
        <v>4096</v>
      </c>
      <c r="J1991" s="1538">
        <v>1</v>
      </c>
      <c r="K1991" s="1525"/>
      <c r="L1991" s="1519">
        <v>13223120602</v>
      </c>
      <c r="M1991" s="1520">
        <v>1</v>
      </c>
      <c r="N1991" s="1520">
        <v>1</v>
      </c>
      <c r="O1991" s="1521">
        <v>2</v>
      </c>
    </row>
    <row r="1992" spans="3:15" ht="13.5">
      <c r="C1992" s="1526" t="s">
        <v>5950</v>
      </c>
      <c r="D1992" s="1523">
        <v>1</v>
      </c>
      <c r="E1992" s="1523">
        <v>1</v>
      </c>
      <c r="F1992" s="1524">
        <v>2</v>
      </c>
      <c r="G1992" s="1537" t="s">
        <v>5950</v>
      </c>
      <c r="H1992" s="1521">
        <v>0</v>
      </c>
      <c r="I1992" s="1521">
        <v>1</v>
      </c>
      <c r="J1992" s="1538">
        <v>1</v>
      </c>
      <c r="K1992" s="1525"/>
      <c r="L1992" s="1519">
        <v>13223120603</v>
      </c>
      <c r="M1992" s="1520">
        <v>1</v>
      </c>
      <c r="N1992" s="1520">
        <v>1</v>
      </c>
      <c r="O1992" s="1521">
        <v>2</v>
      </c>
    </row>
    <row r="1993" spans="3:15" ht="13.5">
      <c r="C1993" s="1526" t="s">
        <v>5951</v>
      </c>
      <c r="D1993" s="1523">
        <v>1</v>
      </c>
      <c r="E1993" s="1523">
        <v>1</v>
      </c>
      <c r="F1993" s="1524">
        <v>2</v>
      </c>
      <c r="G1993" s="1537" t="s">
        <v>5951</v>
      </c>
      <c r="H1993" s="1521">
        <v>1</v>
      </c>
      <c r="I1993" s="1521">
        <v>1</v>
      </c>
      <c r="J1993" s="1538">
        <v>2</v>
      </c>
      <c r="K1993" s="1525"/>
      <c r="L1993" s="1519">
        <v>13223120604</v>
      </c>
      <c r="M1993" s="1520">
        <v>1</v>
      </c>
      <c r="N1993" s="1520">
        <v>1</v>
      </c>
      <c r="O1993" s="1521">
        <v>2</v>
      </c>
    </row>
    <row r="1994" spans="3:15" ht="13.5">
      <c r="C1994" s="1526" t="s">
        <v>5952</v>
      </c>
      <c r="D1994" s="1523">
        <v>1</v>
      </c>
      <c r="E1994" s="1523">
        <v>1</v>
      </c>
      <c r="F1994" s="1524">
        <v>2</v>
      </c>
      <c r="G1994" s="1537" t="s">
        <v>5952</v>
      </c>
      <c r="H1994" s="1521">
        <v>1</v>
      </c>
      <c r="I1994" s="1521">
        <v>0</v>
      </c>
      <c r="J1994" s="1538">
        <v>1</v>
      </c>
      <c r="K1994" s="1525"/>
      <c r="L1994" s="1519">
        <v>13223120605</v>
      </c>
      <c r="M1994" s="1520">
        <v>1</v>
      </c>
      <c r="N1994" s="1520">
        <v>1</v>
      </c>
      <c r="O1994" s="1521">
        <v>2</v>
      </c>
    </row>
    <row r="1995" spans="3:15" ht="13.5">
      <c r="C1995" s="1526" t="s">
        <v>5953</v>
      </c>
      <c r="D1995" s="1523">
        <v>1</v>
      </c>
      <c r="E1995" s="1523">
        <v>1</v>
      </c>
      <c r="F1995" s="1524">
        <v>2</v>
      </c>
      <c r="G1995" s="1537" t="s">
        <v>5953</v>
      </c>
      <c r="H1995" s="1521">
        <v>1</v>
      </c>
      <c r="I1995" s="1521">
        <v>1</v>
      </c>
      <c r="J1995" s="1538">
        <v>2</v>
      </c>
      <c r="K1995" s="1525"/>
      <c r="L1995" s="1519">
        <v>13225040101</v>
      </c>
      <c r="M1995" s="1520">
        <v>1</v>
      </c>
      <c r="N1995" s="1520">
        <v>1</v>
      </c>
      <c r="O1995" s="1521">
        <v>2</v>
      </c>
    </row>
    <row r="1996" spans="3:15" ht="13.5">
      <c r="C1996" s="1526" t="s">
        <v>5954</v>
      </c>
      <c r="D1996" s="1523">
        <v>1</v>
      </c>
      <c r="E1996" s="1523">
        <v>1</v>
      </c>
      <c r="F1996" s="1524">
        <v>2</v>
      </c>
      <c r="G1996" s="1537" t="s">
        <v>5954</v>
      </c>
      <c r="H1996" s="1521">
        <v>0</v>
      </c>
      <c r="I1996" s="1521">
        <v>1</v>
      </c>
      <c r="J1996" s="1538">
        <v>1</v>
      </c>
      <c r="K1996" s="1525"/>
      <c r="L1996" s="1519">
        <v>13225040102</v>
      </c>
      <c r="M1996" s="1520">
        <v>1</v>
      </c>
      <c r="N1996" s="1520">
        <v>1</v>
      </c>
      <c r="O1996" s="1521">
        <v>2</v>
      </c>
    </row>
    <row r="1997" spans="3:15" ht="13.5">
      <c r="C1997" s="1526" t="s">
        <v>5955</v>
      </c>
      <c r="D1997" s="1523">
        <v>0</v>
      </c>
      <c r="E1997" s="1523">
        <v>0</v>
      </c>
      <c r="F1997" s="1524">
        <v>0</v>
      </c>
      <c r="G1997" s="1537" t="s">
        <v>5955</v>
      </c>
      <c r="H1997" s="1521">
        <v>0</v>
      </c>
      <c r="I1997" s="1521">
        <v>0</v>
      </c>
      <c r="J1997" s="1538">
        <v>0</v>
      </c>
      <c r="K1997" s="1525"/>
      <c r="L1997" s="1519">
        <v>13225040200</v>
      </c>
      <c r="M1997" s="1520">
        <v>0</v>
      </c>
      <c r="N1997" s="1520">
        <v>0</v>
      </c>
      <c r="O1997" s="1521">
        <v>0</v>
      </c>
    </row>
    <row r="1998" spans="3:15" ht="13.5">
      <c r="C1998" s="1526" t="s">
        <v>5956</v>
      </c>
      <c r="D1998" s="1523">
        <v>1</v>
      </c>
      <c r="E1998" s="1523">
        <v>0</v>
      </c>
      <c r="F1998" s="1524">
        <v>1</v>
      </c>
      <c r="G1998" s="1537" t="s">
        <v>5956</v>
      </c>
      <c r="H1998" s="1521">
        <v>0</v>
      </c>
      <c r="I1998" s="1521">
        <v>0</v>
      </c>
      <c r="J1998" s="1538">
        <v>0</v>
      </c>
      <c r="K1998" s="1525"/>
      <c r="L1998" s="1519">
        <v>13225040301</v>
      </c>
      <c r="M1998" s="1520">
        <v>1</v>
      </c>
      <c r="N1998" s="1520">
        <v>0</v>
      </c>
      <c r="O1998" s="1521">
        <v>1</v>
      </c>
    </row>
    <row r="1999" spans="3:15" ht="13.5">
      <c r="C1999" s="1526" t="s">
        <v>5957</v>
      </c>
      <c r="D1999" s="1523">
        <v>0</v>
      </c>
      <c r="E1999" s="1523">
        <v>0</v>
      </c>
      <c r="F1999" s="1524">
        <v>0</v>
      </c>
      <c r="G1999" s="1537" t="s">
        <v>5957</v>
      </c>
      <c r="H1999" s="1521">
        <v>0</v>
      </c>
      <c r="I1999" s="1521">
        <v>0</v>
      </c>
      <c r="J1999" s="1538">
        <v>0</v>
      </c>
      <c r="K1999" s="1525"/>
      <c r="L1999" s="1519">
        <v>13225040302</v>
      </c>
      <c r="M1999" s="1520">
        <v>0</v>
      </c>
      <c r="N1999" s="1520">
        <v>0</v>
      </c>
      <c r="O1999" s="1521">
        <v>0</v>
      </c>
    </row>
    <row r="2000" spans="3:15" ht="13.5">
      <c r="C2000" s="1526" t="s">
        <v>5958</v>
      </c>
      <c r="D2000" s="1523">
        <v>0</v>
      </c>
      <c r="E2000" s="1523">
        <v>0</v>
      </c>
      <c r="F2000" s="1524">
        <v>0</v>
      </c>
      <c r="G2000" s="1537" t="s">
        <v>5958</v>
      </c>
      <c r="H2000" s="1521">
        <v>0</v>
      </c>
      <c r="I2000" s="1521" t="s">
        <v>4096</v>
      </c>
      <c r="J2000" s="1538">
        <v>0</v>
      </c>
      <c r="K2000" s="1525"/>
      <c r="L2000" s="1519">
        <v>13225040400</v>
      </c>
      <c r="M2000" s="1520">
        <v>0</v>
      </c>
      <c r="N2000" s="1520">
        <v>0</v>
      </c>
      <c r="O2000" s="1521">
        <v>0</v>
      </c>
    </row>
    <row r="2001" spans="3:15" ht="13.5">
      <c r="C2001" s="1526" t="s">
        <v>5959</v>
      </c>
      <c r="D2001" s="1523">
        <v>1</v>
      </c>
      <c r="E2001" s="1523">
        <v>1</v>
      </c>
      <c r="F2001" s="1524">
        <v>2</v>
      </c>
      <c r="G2001" s="1537" t="s">
        <v>5959</v>
      </c>
      <c r="H2001" s="1521">
        <v>1</v>
      </c>
      <c r="I2001" s="1521">
        <v>1</v>
      </c>
      <c r="J2001" s="1538">
        <v>2</v>
      </c>
      <c r="K2001" s="1525"/>
      <c r="L2001" s="1519">
        <v>13227050100</v>
      </c>
      <c r="M2001" s="1520">
        <v>1</v>
      </c>
      <c r="N2001" s="1520">
        <v>1</v>
      </c>
      <c r="O2001" s="1521">
        <v>2</v>
      </c>
    </row>
    <row r="2002" spans="3:15" ht="13.5">
      <c r="C2002" s="1526" t="s">
        <v>5960</v>
      </c>
      <c r="D2002" s="1523">
        <v>0</v>
      </c>
      <c r="E2002" s="1523">
        <v>0</v>
      </c>
      <c r="F2002" s="1524">
        <v>0</v>
      </c>
      <c r="G2002" s="1537" t="s">
        <v>5960</v>
      </c>
      <c r="H2002" s="1521">
        <v>0</v>
      </c>
      <c r="I2002" s="1521">
        <v>0</v>
      </c>
      <c r="J2002" s="1538">
        <v>0</v>
      </c>
      <c r="K2002" s="1525"/>
      <c r="L2002" s="1519">
        <v>13227050200</v>
      </c>
      <c r="M2002" s="1520">
        <v>0</v>
      </c>
      <c r="N2002" s="1520">
        <v>0</v>
      </c>
      <c r="O2002" s="1521">
        <v>0</v>
      </c>
    </row>
    <row r="2003" spans="3:15" ht="13.5">
      <c r="C2003" s="1526" t="s">
        <v>5961</v>
      </c>
      <c r="D2003" s="1523">
        <v>0</v>
      </c>
      <c r="E2003" s="1523">
        <v>1</v>
      </c>
      <c r="F2003" s="1524">
        <v>1</v>
      </c>
      <c r="G2003" s="1537" t="s">
        <v>5961</v>
      </c>
      <c r="H2003" s="1521">
        <v>0</v>
      </c>
      <c r="I2003" s="1521">
        <v>0</v>
      </c>
      <c r="J2003" s="1538">
        <v>0</v>
      </c>
      <c r="K2003" s="1525"/>
      <c r="L2003" s="1519">
        <v>13227050300</v>
      </c>
      <c r="M2003" s="1520">
        <v>0</v>
      </c>
      <c r="N2003" s="1520">
        <v>1</v>
      </c>
      <c r="O2003" s="1521">
        <v>1</v>
      </c>
    </row>
    <row r="2004" spans="3:15" ht="13.5">
      <c r="C2004" s="1526" t="s">
        <v>5962</v>
      </c>
      <c r="D2004" s="1523">
        <v>0</v>
      </c>
      <c r="E2004" s="1523">
        <v>0</v>
      </c>
      <c r="F2004" s="1524">
        <v>0</v>
      </c>
      <c r="G2004" s="1537" t="s">
        <v>5962</v>
      </c>
      <c r="H2004" s="1521">
        <v>0</v>
      </c>
      <c r="I2004" s="1521">
        <v>1</v>
      </c>
      <c r="J2004" s="1538">
        <v>1</v>
      </c>
      <c r="K2004" s="1525"/>
      <c r="L2004" s="1519">
        <v>13227050400</v>
      </c>
      <c r="M2004" s="1520">
        <v>0</v>
      </c>
      <c r="N2004" s="1520">
        <v>1</v>
      </c>
      <c r="O2004" s="1521">
        <v>1</v>
      </c>
    </row>
    <row r="2005" spans="3:15" ht="13.5">
      <c r="C2005" s="1526" t="s">
        <v>5963</v>
      </c>
      <c r="D2005" s="1523">
        <v>1</v>
      </c>
      <c r="E2005" s="1523">
        <v>1</v>
      </c>
      <c r="F2005" s="1524">
        <v>2</v>
      </c>
      <c r="G2005" s="1537" t="s">
        <v>5963</v>
      </c>
      <c r="H2005" s="1521">
        <v>0</v>
      </c>
      <c r="I2005" s="1521">
        <v>0</v>
      </c>
      <c r="J2005" s="1538">
        <v>0</v>
      </c>
      <c r="K2005" s="1525"/>
      <c r="L2005" s="1519">
        <v>13227050500</v>
      </c>
      <c r="M2005" s="1520">
        <v>1</v>
      </c>
      <c r="N2005" s="1520">
        <v>1</v>
      </c>
      <c r="O2005" s="1521">
        <v>2</v>
      </c>
    </row>
    <row r="2006" spans="3:15" ht="13.5">
      <c r="C2006" s="1526" t="s">
        <v>5964</v>
      </c>
      <c r="D2006" s="1523">
        <v>1</v>
      </c>
      <c r="E2006" s="1523">
        <v>1</v>
      </c>
      <c r="F2006" s="1524">
        <v>2</v>
      </c>
      <c r="G2006" s="1537" t="s">
        <v>5964</v>
      </c>
      <c r="H2006" s="1521">
        <v>1</v>
      </c>
      <c r="I2006" s="1521">
        <v>1</v>
      </c>
      <c r="J2006" s="1538">
        <v>2</v>
      </c>
      <c r="K2006" s="1525"/>
      <c r="L2006" s="1519">
        <v>13227050600</v>
      </c>
      <c r="M2006" s="1520">
        <v>1</v>
      </c>
      <c r="N2006" s="1520">
        <v>1</v>
      </c>
      <c r="O2006" s="1521">
        <v>2</v>
      </c>
    </row>
    <row r="2007" spans="3:15" ht="13.5">
      <c r="C2007" s="1526" t="s">
        <v>5965</v>
      </c>
      <c r="D2007" s="1523">
        <v>0</v>
      </c>
      <c r="E2007" s="1523">
        <v>0</v>
      </c>
      <c r="F2007" s="1524">
        <v>0</v>
      </c>
      <c r="G2007" s="1537" t="s">
        <v>5965</v>
      </c>
      <c r="H2007" s="1521">
        <v>0</v>
      </c>
      <c r="I2007" s="1521">
        <v>0</v>
      </c>
      <c r="J2007" s="1538">
        <v>0</v>
      </c>
      <c r="K2007" s="1525"/>
      <c r="L2007" s="1519">
        <v>13229960100</v>
      </c>
      <c r="M2007" s="1520">
        <v>0</v>
      </c>
      <c r="N2007" s="1520">
        <v>0</v>
      </c>
      <c r="O2007" s="1521">
        <v>0</v>
      </c>
    </row>
    <row r="2008" spans="3:15" ht="13.5">
      <c r="C2008" s="1526" t="s">
        <v>5966</v>
      </c>
      <c r="D2008" s="1523">
        <v>0</v>
      </c>
      <c r="E2008" s="1523">
        <v>0</v>
      </c>
      <c r="F2008" s="1524">
        <v>0</v>
      </c>
      <c r="G2008" s="1537" t="s">
        <v>5966</v>
      </c>
      <c r="H2008" s="1521">
        <v>0</v>
      </c>
      <c r="I2008" s="1521">
        <v>0</v>
      </c>
      <c r="J2008" s="1538">
        <v>0</v>
      </c>
      <c r="K2008" s="1525"/>
      <c r="L2008" s="1519">
        <v>13229960200</v>
      </c>
      <c r="M2008" s="1520">
        <v>0</v>
      </c>
      <c r="N2008" s="1520">
        <v>0</v>
      </c>
      <c r="O2008" s="1521">
        <v>0</v>
      </c>
    </row>
    <row r="2009" spans="3:15" ht="13.5">
      <c r="C2009" s="1526" t="s">
        <v>5967</v>
      </c>
      <c r="D2009" s="1523">
        <v>0</v>
      </c>
      <c r="E2009" s="1523">
        <v>0</v>
      </c>
      <c r="F2009" s="1524">
        <v>0</v>
      </c>
      <c r="G2009" s="1537" t="s">
        <v>5967</v>
      </c>
      <c r="H2009" s="1521">
        <v>0</v>
      </c>
      <c r="I2009" s="1521">
        <v>0</v>
      </c>
      <c r="J2009" s="1538">
        <v>0</v>
      </c>
      <c r="K2009" s="1525"/>
      <c r="L2009" s="1519">
        <v>13229960300</v>
      </c>
      <c r="M2009" s="1520">
        <v>0</v>
      </c>
      <c r="N2009" s="1520">
        <v>0</v>
      </c>
      <c r="O2009" s="1521">
        <v>0</v>
      </c>
    </row>
    <row r="2010" spans="3:15" ht="13.5">
      <c r="C2010" s="1526" t="s">
        <v>5968</v>
      </c>
      <c r="D2010" s="1523">
        <v>0</v>
      </c>
      <c r="E2010" s="1523">
        <v>1</v>
      </c>
      <c r="F2010" s="1524">
        <v>1</v>
      </c>
      <c r="G2010" s="1537" t="s">
        <v>5968</v>
      </c>
      <c r="H2010" s="1521">
        <v>0</v>
      </c>
      <c r="I2010" s="1521">
        <v>0</v>
      </c>
      <c r="J2010" s="1538">
        <v>0</v>
      </c>
      <c r="K2010" s="1525"/>
      <c r="L2010" s="1519">
        <v>13229960400</v>
      </c>
      <c r="M2010" s="1520">
        <v>0</v>
      </c>
      <c r="N2010" s="1520">
        <v>1</v>
      </c>
      <c r="O2010" s="1521">
        <v>1</v>
      </c>
    </row>
    <row r="2011" spans="3:15" ht="13.5">
      <c r="C2011" s="1526" t="s">
        <v>5969</v>
      </c>
      <c r="D2011" s="1523">
        <v>0</v>
      </c>
      <c r="E2011" s="1523">
        <v>1</v>
      </c>
      <c r="F2011" s="1524">
        <v>1</v>
      </c>
      <c r="G2011" s="1537" t="s">
        <v>5969</v>
      </c>
      <c r="H2011" s="1521">
        <v>0</v>
      </c>
      <c r="I2011" s="1521">
        <v>1</v>
      </c>
      <c r="J2011" s="1538">
        <v>1</v>
      </c>
      <c r="K2011" s="1525"/>
      <c r="L2011" s="1519">
        <v>13231010100</v>
      </c>
      <c r="M2011" s="1520">
        <v>0</v>
      </c>
      <c r="N2011" s="1520">
        <v>1</v>
      </c>
      <c r="O2011" s="1521">
        <v>1</v>
      </c>
    </row>
    <row r="2012" spans="3:15" ht="13.5">
      <c r="C2012" s="1526" t="s">
        <v>5970</v>
      </c>
      <c r="D2012" s="1523">
        <v>1</v>
      </c>
      <c r="E2012" s="1523">
        <v>1</v>
      </c>
      <c r="F2012" s="1524">
        <v>2</v>
      </c>
      <c r="G2012" s="1537" t="s">
        <v>5970</v>
      </c>
      <c r="H2012" s="1521">
        <v>1</v>
      </c>
      <c r="I2012" s="1521">
        <v>1</v>
      </c>
      <c r="J2012" s="1538">
        <v>2</v>
      </c>
      <c r="K2012" s="1525"/>
      <c r="L2012" s="1519">
        <v>13231010200</v>
      </c>
      <c r="M2012" s="1520">
        <v>1</v>
      </c>
      <c r="N2012" s="1520">
        <v>1</v>
      </c>
      <c r="O2012" s="1521">
        <v>2</v>
      </c>
    </row>
    <row r="2013" spans="3:15" ht="13.5">
      <c r="C2013" s="1526" t="s">
        <v>5971</v>
      </c>
      <c r="D2013" s="1523">
        <v>0</v>
      </c>
      <c r="E2013" s="1523">
        <v>1</v>
      </c>
      <c r="F2013" s="1524">
        <v>1</v>
      </c>
      <c r="G2013" s="1537" t="s">
        <v>5971</v>
      </c>
      <c r="H2013" s="1521">
        <v>0</v>
      </c>
      <c r="I2013" s="1521">
        <v>0</v>
      </c>
      <c r="J2013" s="1538">
        <v>0</v>
      </c>
      <c r="K2013" s="1525"/>
      <c r="L2013" s="1519">
        <v>13231010300</v>
      </c>
      <c r="M2013" s="1520">
        <v>0</v>
      </c>
      <c r="N2013" s="1520">
        <v>1</v>
      </c>
      <c r="O2013" s="1521">
        <v>1</v>
      </c>
    </row>
    <row r="2014" spans="3:15" ht="13.5">
      <c r="C2014" s="1526" t="s">
        <v>5972</v>
      </c>
      <c r="D2014" s="1523">
        <v>0</v>
      </c>
      <c r="E2014" s="1523">
        <v>1</v>
      </c>
      <c r="F2014" s="1524">
        <v>1</v>
      </c>
      <c r="G2014" s="1537" t="s">
        <v>5972</v>
      </c>
      <c r="H2014" s="1521">
        <v>0</v>
      </c>
      <c r="I2014" s="1521">
        <v>0</v>
      </c>
      <c r="J2014" s="1538">
        <v>0</v>
      </c>
      <c r="K2014" s="1525"/>
      <c r="L2014" s="1519">
        <v>13231010400</v>
      </c>
      <c r="M2014" s="1520">
        <v>0</v>
      </c>
      <c r="N2014" s="1520">
        <v>1</v>
      </c>
      <c r="O2014" s="1521">
        <v>1</v>
      </c>
    </row>
    <row r="2015" spans="3:15" ht="13.5">
      <c r="C2015" s="1526" t="s">
        <v>5973</v>
      </c>
      <c r="D2015" s="1523">
        <v>0</v>
      </c>
      <c r="E2015" s="1523">
        <v>0</v>
      </c>
      <c r="F2015" s="1524">
        <v>0</v>
      </c>
      <c r="G2015" s="1537" t="s">
        <v>5973</v>
      </c>
      <c r="H2015" s="1521">
        <v>0</v>
      </c>
      <c r="I2015" s="1521">
        <v>0</v>
      </c>
      <c r="J2015" s="1538">
        <v>0</v>
      </c>
      <c r="K2015" s="1525"/>
      <c r="L2015" s="1519">
        <v>13233010100</v>
      </c>
      <c r="M2015" s="1520">
        <v>0</v>
      </c>
      <c r="N2015" s="1520">
        <v>0</v>
      </c>
      <c r="O2015" s="1521">
        <v>0</v>
      </c>
    </row>
    <row r="2016" spans="3:15" ht="13.5">
      <c r="C2016" s="1526" t="s">
        <v>5974</v>
      </c>
      <c r="D2016" s="1523">
        <v>0</v>
      </c>
      <c r="E2016" s="1523">
        <v>0</v>
      </c>
      <c r="F2016" s="1524">
        <v>0</v>
      </c>
      <c r="G2016" s="1537" t="s">
        <v>5974</v>
      </c>
      <c r="H2016" s="1521">
        <v>0</v>
      </c>
      <c r="I2016" s="1521">
        <v>1</v>
      </c>
      <c r="J2016" s="1538">
        <v>1</v>
      </c>
      <c r="K2016" s="1525"/>
      <c r="L2016" s="1519">
        <v>13233010200</v>
      </c>
      <c r="M2016" s="1520">
        <v>0</v>
      </c>
      <c r="N2016" s="1520">
        <v>1</v>
      </c>
      <c r="O2016" s="1521">
        <v>1</v>
      </c>
    </row>
    <row r="2017" spans="3:15" ht="13.5">
      <c r="C2017" s="1526" t="s">
        <v>5975</v>
      </c>
      <c r="D2017" s="1523">
        <v>0</v>
      </c>
      <c r="E2017" s="1523">
        <v>0</v>
      </c>
      <c r="F2017" s="1524">
        <v>0</v>
      </c>
      <c r="G2017" s="1537" t="s">
        <v>5975</v>
      </c>
      <c r="H2017" s="1521">
        <v>0</v>
      </c>
      <c r="I2017" s="1521">
        <v>0</v>
      </c>
      <c r="J2017" s="1538">
        <v>0</v>
      </c>
      <c r="K2017" s="1525"/>
      <c r="L2017" s="1519">
        <v>13233010300</v>
      </c>
      <c r="M2017" s="1520">
        <v>0</v>
      </c>
      <c r="N2017" s="1520">
        <v>0</v>
      </c>
      <c r="O2017" s="1521">
        <v>0</v>
      </c>
    </row>
    <row r="2018" spans="3:15" ht="13.5">
      <c r="C2018" s="1526" t="s">
        <v>5976</v>
      </c>
      <c r="D2018" s="1523">
        <v>0</v>
      </c>
      <c r="E2018" s="1523">
        <v>0</v>
      </c>
      <c r="F2018" s="1524">
        <v>0</v>
      </c>
      <c r="G2018" s="1537" t="s">
        <v>5976</v>
      </c>
      <c r="H2018" s="1521">
        <v>0</v>
      </c>
      <c r="I2018" s="1521">
        <v>0</v>
      </c>
      <c r="J2018" s="1538">
        <v>0</v>
      </c>
      <c r="K2018" s="1525"/>
      <c r="L2018" s="1519">
        <v>13233010400</v>
      </c>
      <c r="M2018" s="1520">
        <v>0</v>
      </c>
      <c r="N2018" s="1520">
        <v>0</v>
      </c>
      <c r="O2018" s="1521">
        <v>0</v>
      </c>
    </row>
    <row r="2019" spans="3:15" ht="13.5">
      <c r="C2019" s="1526" t="s">
        <v>5977</v>
      </c>
      <c r="D2019" s="1523">
        <v>0</v>
      </c>
      <c r="E2019" s="1523">
        <v>0</v>
      </c>
      <c r="F2019" s="1524">
        <v>0</v>
      </c>
      <c r="G2019" s="1537" t="s">
        <v>5977</v>
      </c>
      <c r="H2019" s="1521">
        <v>0</v>
      </c>
      <c r="I2019" s="1521">
        <v>0</v>
      </c>
      <c r="J2019" s="1538">
        <v>0</v>
      </c>
      <c r="K2019" s="1525"/>
      <c r="L2019" s="1519">
        <v>13233010500</v>
      </c>
      <c r="M2019" s="1520">
        <v>0</v>
      </c>
      <c r="N2019" s="1520">
        <v>0</v>
      </c>
      <c r="O2019" s="1521">
        <v>0</v>
      </c>
    </row>
    <row r="2020" spans="3:15" ht="13.5">
      <c r="C2020" s="1526" t="s">
        <v>5978</v>
      </c>
      <c r="D2020" s="1523">
        <v>0</v>
      </c>
      <c r="E2020" s="1523">
        <v>0</v>
      </c>
      <c r="F2020" s="1524">
        <v>0</v>
      </c>
      <c r="G2020" s="1537" t="s">
        <v>5978</v>
      </c>
      <c r="H2020" s="1521">
        <v>0</v>
      </c>
      <c r="I2020" s="1521">
        <v>1</v>
      </c>
      <c r="J2020" s="1538">
        <v>1</v>
      </c>
      <c r="K2020" s="1525"/>
      <c r="L2020" s="1519">
        <v>13233010600</v>
      </c>
      <c r="M2020" s="1520">
        <v>0</v>
      </c>
      <c r="N2020" s="1520">
        <v>1</v>
      </c>
      <c r="O2020" s="1521">
        <v>1</v>
      </c>
    </row>
    <row r="2021" spans="3:15" ht="13.5">
      <c r="C2021" s="1526" t="s">
        <v>5979</v>
      </c>
      <c r="D2021" s="1523">
        <v>0</v>
      </c>
      <c r="E2021" s="1523">
        <v>0</v>
      </c>
      <c r="F2021" s="1524">
        <v>0</v>
      </c>
      <c r="G2021" s="1537" t="s">
        <v>5979</v>
      </c>
      <c r="H2021" s="1521">
        <v>0</v>
      </c>
      <c r="I2021" s="1521">
        <v>0</v>
      </c>
      <c r="J2021" s="1538">
        <v>0</v>
      </c>
      <c r="K2021" s="1525"/>
      <c r="L2021" s="1519">
        <v>13233010700</v>
      </c>
      <c r="M2021" s="1520">
        <v>0</v>
      </c>
      <c r="N2021" s="1520">
        <v>0</v>
      </c>
      <c r="O2021" s="1521">
        <v>0</v>
      </c>
    </row>
    <row r="2022" spans="3:15" ht="13.5">
      <c r="C2022" s="1526" t="s">
        <v>5980</v>
      </c>
      <c r="D2022" s="1523">
        <v>0</v>
      </c>
      <c r="E2022" s="1523">
        <v>0</v>
      </c>
      <c r="F2022" s="1524">
        <v>0</v>
      </c>
      <c r="G2022" s="1537" t="s">
        <v>5980</v>
      </c>
      <c r="H2022" s="1521">
        <v>0</v>
      </c>
      <c r="I2022" s="1521">
        <v>0</v>
      </c>
      <c r="J2022" s="1538">
        <v>0</v>
      </c>
      <c r="K2022" s="1525"/>
      <c r="L2022" s="1519">
        <v>13235950100</v>
      </c>
      <c r="M2022" s="1520">
        <v>0</v>
      </c>
      <c r="N2022" s="1520">
        <v>0</v>
      </c>
      <c r="O2022" s="1521">
        <v>0</v>
      </c>
    </row>
    <row r="2023" spans="3:15" ht="13.5">
      <c r="C2023" s="1526" t="s">
        <v>5981</v>
      </c>
      <c r="D2023" s="1523">
        <v>0</v>
      </c>
      <c r="E2023" s="1523">
        <v>0</v>
      </c>
      <c r="F2023" s="1524">
        <v>0</v>
      </c>
      <c r="G2023" s="1537" t="s">
        <v>5981</v>
      </c>
      <c r="H2023" s="1521">
        <v>0</v>
      </c>
      <c r="I2023" s="1521">
        <v>1</v>
      </c>
      <c r="J2023" s="1538">
        <v>1</v>
      </c>
      <c r="K2023" s="1525"/>
      <c r="L2023" s="1519">
        <v>13235950200</v>
      </c>
      <c r="M2023" s="1520">
        <v>0</v>
      </c>
      <c r="N2023" s="1520">
        <v>1</v>
      </c>
      <c r="O2023" s="1521">
        <v>1</v>
      </c>
    </row>
    <row r="2024" spans="3:15" ht="13.5">
      <c r="C2024" s="1526" t="s">
        <v>5982</v>
      </c>
      <c r="D2024" s="1523">
        <v>0</v>
      </c>
      <c r="E2024" s="1523">
        <v>0</v>
      </c>
      <c r="F2024" s="1524">
        <v>0</v>
      </c>
      <c r="G2024" s="1537" t="s">
        <v>5982</v>
      </c>
      <c r="H2024" s="1521">
        <v>0</v>
      </c>
      <c r="I2024" s="1521">
        <v>0</v>
      </c>
      <c r="J2024" s="1538">
        <v>0</v>
      </c>
      <c r="K2024" s="1525"/>
      <c r="L2024" s="1519">
        <v>13235950300</v>
      </c>
      <c r="M2024" s="1520">
        <v>0</v>
      </c>
      <c r="N2024" s="1520">
        <v>0</v>
      </c>
      <c r="O2024" s="1521">
        <v>0</v>
      </c>
    </row>
    <row r="2025" spans="3:15" ht="13.5">
      <c r="C2025" s="1526" t="s">
        <v>5983</v>
      </c>
      <c r="D2025" s="1523">
        <v>0</v>
      </c>
      <c r="E2025" s="1523">
        <v>0</v>
      </c>
      <c r="F2025" s="1524">
        <v>0</v>
      </c>
      <c r="G2025" s="1537" t="s">
        <v>5983</v>
      </c>
      <c r="H2025" s="1521">
        <v>0</v>
      </c>
      <c r="I2025" s="1521">
        <v>1</v>
      </c>
      <c r="J2025" s="1538">
        <v>1</v>
      </c>
      <c r="K2025" s="1525"/>
      <c r="L2025" s="1519">
        <v>13237960101</v>
      </c>
      <c r="M2025" s="1520">
        <v>0</v>
      </c>
      <c r="N2025" s="1520">
        <v>1</v>
      </c>
      <c r="O2025" s="1521">
        <v>1</v>
      </c>
    </row>
    <row r="2026" spans="3:15" ht="13.5">
      <c r="C2026" s="1526" t="s">
        <v>5984</v>
      </c>
      <c r="D2026" s="1523">
        <v>1</v>
      </c>
      <c r="E2026" s="1523">
        <v>1</v>
      </c>
      <c r="F2026" s="1524">
        <v>2</v>
      </c>
      <c r="G2026" s="1537" t="s">
        <v>5984</v>
      </c>
      <c r="H2026" s="1521">
        <v>1</v>
      </c>
      <c r="I2026" s="1521" t="s">
        <v>4096</v>
      </c>
      <c r="J2026" s="1538">
        <v>1</v>
      </c>
      <c r="K2026" s="1525"/>
      <c r="L2026" s="1519">
        <v>13237960102</v>
      </c>
      <c r="M2026" s="1520">
        <v>1</v>
      </c>
      <c r="N2026" s="1520">
        <v>1</v>
      </c>
      <c r="O2026" s="1521">
        <v>2</v>
      </c>
    </row>
    <row r="2027" spans="3:15" ht="13.5">
      <c r="C2027" s="1526" t="s">
        <v>5985</v>
      </c>
      <c r="D2027" s="1523">
        <v>0</v>
      </c>
      <c r="E2027" s="1523">
        <v>0</v>
      </c>
      <c r="F2027" s="1524">
        <v>0</v>
      </c>
      <c r="G2027" s="1537" t="s">
        <v>5985</v>
      </c>
      <c r="H2027" s="1521">
        <v>0</v>
      </c>
      <c r="I2027" s="1521" t="s">
        <v>4096</v>
      </c>
      <c r="J2027" s="1538">
        <v>0</v>
      </c>
      <c r="K2027" s="1525"/>
      <c r="L2027" s="1519">
        <v>13237960201</v>
      </c>
      <c r="M2027" s="1520">
        <v>0</v>
      </c>
      <c r="N2027" s="1520">
        <v>0</v>
      </c>
      <c r="O2027" s="1521">
        <v>0</v>
      </c>
    </row>
    <row r="2028" spans="3:15" ht="13.5">
      <c r="C2028" s="1526" t="s">
        <v>5986</v>
      </c>
      <c r="D2028" s="1523">
        <v>0</v>
      </c>
      <c r="E2028" s="1523">
        <v>0</v>
      </c>
      <c r="F2028" s="1524">
        <v>0</v>
      </c>
      <c r="G2028" s="1537" t="s">
        <v>5986</v>
      </c>
      <c r="H2028" s="1521">
        <v>0</v>
      </c>
      <c r="I2028" s="1521">
        <v>0</v>
      </c>
      <c r="J2028" s="1538">
        <v>0</v>
      </c>
      <c r="K2028" s="1525"/>
      <c r="L2028" s="1519">
        <v>13237960202</v>
      </c>
      <c r="M2028" s="1520">
        <v>0</v>
      </c>
      <c r="N2028" s="1520">
        <v>0</v>
      </c>
      <c r="O2028" s="1521">
        <v>0</v>
      </c>
    </row>
    <row r="2029" spans="3:15" ht="13.5">
      <c r="C2029" s="1526" t="s">
        <v>5987</v>
      </c>
      <c r="D2029" s="1523">
        <v>0</v>
      </c>
      <c r="E2029" s="1523">
        <v>1</v>
      </c>
      <c r="F2029" s="1524">
        <v>1</v>
      </c>
      <c r="G2029" s="1537" t="s">
        <v>5987</v>
      </c>
      <c r="H2029" s="1521">
        <v>0</v>
      </c>
      <c r="I2029" s="1521">
        <v>0</v>
      </c>
      <c r="J2029" s="1538">
        <v>0</v>
      </c>
      <c r="K2029" s="1525"/>
      <c r="L2029" s="1519">
        <v>13237960300</v>
      </c>
      <c r="M2029" s="1520">
        <v>0</v>
      </c>
      <c r="N2029" s="1520">
        <v>1</v>
      </c>
      <c r="O2029" s="1521">
        <v>1</v>
      </c>
    </row>
    <row r="2030" spans="3:15" ht="13.5">
      <c r="C2030" s="1526" t="s">
        <v>5988</v>
      </c>
      <c r="D2030" s="1523">
        <v>0</v>
      </c>
      <c r="E2030" s="1523">
        <v>0</v>
      </c>
      <c r="F2030" s="1524">
        <v>0</v>
      </c>
      <c r="G2030" s="1537" t="s">
        <v>5988</v>
      </c>
      <c r="H2030" s="1521">
        <v>0</v>
      </c>
      <c r="I2030" s="1521">
        <v>0</v>
      </c>
      <c r="J2030" s="1538">
        <v>0</v>
      </c>
      <c r="K2030" s="1525"/>
      <c r="L2030" s="1519">
        <v>13239960300</v>
      </c>
      <c r="M2030" s="1520">
        <v>0</v>
      </c>
      <c r="N2030" s="1520">
        <v>0</v>
      </c>
      <c r="O2030" s="1521">
        <v>0</v>
      </c>
    </row>
    <row r="2031" spans="3:15" ht="13.5">
      <c r="C2031" s="1526" t="s">
        <v>5989</v>
      </c>
      <c r="D2031" s="1523">
        <v>0</v>
      </c>
      <c r="E2031" s="1523">
        <v>0</v>
      </c>
      <c r="F2031" s="1524">
        <v>0</v>
      </c>
      <c r="G2031" s="1537" t="s">
        <v>5989</v>
      </c>
      <c r="H2031" s="1521">
        <v>0</v>
      </c>
      <c r="I2031" s="1521">
        <v>1</v>
      </c>
      <c r="J2031" s="1538">
        <v>1</v>
      </c>
      <c r="K2031" s="1525"/>
      <c r="L2031" s="1519">
        <v>13241970100</v>
      </c>
      <c r="M2031" s="1520">
        <v>0</v>
      </c>
      <c r="N2031" s="1520">
        <v>1</v>
      </c>
      <c r="O2031" s="1521">
        <v>1</v>
      </c>
    </row>
    <row r="2032" spans="3:15" ht="13.5">
      <c r="C2032" s="1526" t="s">
        <v>5990</v>
      </c>
      <c r="D2032" s="1523">
        <v>0</v>
      </c>
      <c r="E2032" s="1523">
        <v>0</v>
      </c>
      <c r="F2032" s="1524">
        <v>0</v>
      </c>
      <c r="G2032" s="1537" t="s">
        <v>5990</v>
      </c>
      <c r="H2032" s="1521">
        <v>0</v>
      </c>
      <c r="I2032" s="1521">
        <v>0</v>
      </c>
      <c r="J2032" s="1538">
        <v>0</v>
      </c>
      <c r="K2032" s="1525"/>
      <c r="L2032" s="1519">
        <v>13241970201</v>
      </c>
      <c r="M2032" s="1520">
        <v>0</v>
      </c>
      <c r="N2032" s="1520">
        <v>0</v>
      </c>
      <c r="O2032" s="1521">
        <v>0</v>
      </c>
    </row>
    <row r="2033" spans="3:15" ht="13.5">
      <c r="C2033" s="1526" t="s">
        <v>5991</v>
      </c>
      <c r="D2033" s="1523">
        <v>0</v>
      </c>
      <c r="E2033" s="1523">
        <v>0</v>
      </c>
      <c r="F2033" s="1524">
        <v>0</v>
      </c>
      <c r="G2033" s="1537" t="s">
        <v>5991</v>
      </c>
      <c r="H2033" s="1521">
        <v>0</v>
      </c>
      <c r="I2033" s="1521">
        <v>0</v>
      </c>
      <c r="J2033" s="1538">
        <v>0</v>
      </c>
      <c r="K2033" s="1525"/>
      <c r="L2033" s="1519">
        <v>13241970202</v>
      </c>
      <c r="M2033" s="1520">
        <v>0</v>
      </c>
      <c r="N2033" s="1520">
        <v>0</v>
      </c>
      <c r="O2033" s="1521">
        <v>0</v>
      </c>
    </row>
    <row r="2034" spans="3:15" ht="13.5">
      <c r="C2034" s="1526" t="s">
        <v>5992</v>
      </c>
      <c r="D2034" s="1523">
        <v>0</v>
      </c>
      <c r="E2034" s="1523">
        <v>0</v>
      </c>
      <c r="F2034" s="1524">
        <v>0</v>
      </c>
      <c r="G2034" s="1537" t="s">
        <v>5992</v>
      </c>
      <c r="H2034" s="1521">
        <v>0</v>
      </c>
      <c r="I2034" s="1521">
        <v>1</v>
      </c>
      <c r="J2034" s="1538">
        <v>1</v>
      </c>
      <c r="K2034" s="1525"/>
      <c r="L2034" s="1519">
        <v>13241970301</v>
      </c>
      <c r="M2034" s="1520">
        <v>0</v>
      </c>
      <c r="N2034" s="1520">
        <v>1</v>
      </c>
      <c r="O2034" s="1521">
        <v>1</v>
      </c>
    </row>
    <row r="2035" spans="3:15" ht="13.5">
      <c r="C2035" s="1526" t="s">
        <v>5993</v>
      </c>
      <c r="D2035" s="1523">
        <v>0</v>
      </c>
      <c r="E2035" s="1523">
        <v>0</v>
      </c>
      <c r="F2035" s="1524">
        <v>0</v>
      </c>
      <c r="G2035" s="1537" t="s">
        <v>5993</v>
      </c>
      <c r="H2035" s="1521">
        <v>0</v>
      </c>
      <c r="I2035" s="1521">
        <v>0</v>
      </c>
      <c r="J2035" s="1538">
        <v>0</v>
      </c>
      <c r="K2035" s="1525"/>
      <c r="L2035" s="1519">
        <v>13241970302</v>
      </c>
      <c r="M2035" s="1520">
        <v>0</v>
      </c>
      <c r="N2035" s="1520">
        <v>0</v>
      </c>
      <c r="O2035" s="1521">
        <v>0</v>
      </c>
    </row>
    <row r="2036" spans="3:15" ht="13.5">
      <c r="C2036" s="1526" t="s">
        <v>5994</v>
      </c>
      <c r="D2036" s="1523">
        <v>0</v>
      </c>
      <c r="E2036" s="1523">
        <v>0</v>
      </c>
      <c r="F2036" s="1524">
        <v>0</v>
      </c>
      <c r="G2036" s="1537" t="s">
        <v>5994</v>
      </c>
      <c r="H2036" s="1521">
        <v>0</v>
      </c>
      <c r="I2036" s="1521">
        <v>0</v>
      </c>
      <c r="J2036" s="1538">
        <v>0</v>
      </c>
      <c r="K2036" s="1525"/>
      <c r="L2036" s="1519">
        <v>13243790100</v>
      </c>
      <c r="M2036" s="1520">
        <v>0</v>
      </c>
      <c r="N2036" s="1520">
        <v>0</v>
      </c>
      <c r="O2036" s="1521">
        <v>0</v>
      </c>
    </row>
    <row r="2037" spans="3:15" ht="13.5">
      <c r="C2037" s="1526" t="s">
        <v>5995</v>
      </c>
      <c r="D2037" s="1523">
        <v>0</v>
      </c>
      <c r="E2037" s="1523">
        <v>0</v>
      </c>
      <c r="F2037" s="1524">
        <v>0</v>
      </c>
      <c r="G2037" s="1537" t="s">
        <v>5995</v>
      </c>
      <c r="H2037" s="1521">
        <v>0</v>
      </c>
      <c r="I2037" s="1521">
        <v>0</v>
      </c>
      <c r="J2037" s="1538">
        <v>0</v>
      </c>
      <c r="K2037" s="1525"/>
      <c r="L2037" s="1519">
        <v>13243790200</v>
      </c>
      <c r="M2037" s="1520">
        <v>0</v>
      </c>
      <c r="N2037" s="1520">
        <v>0</v>
      </c>
      <c r="O2037" s="1521">
        <v>0</v>
      </c>
    </row>
    <row r="2038" spans="3:15" ht="13.5">
      <c r="C2038" s="1526" t="s">
        <v>5996</v>
      </c>
      <c r="D2038" s="1523">
        <v>0</v>
      </c>
      <c r="E2038" s="1523">
        <v>0</v>
      </c>
      <c r="F2038" s="1524">
        <v>0</v>
      </c>
      <c r="G2038" s="1537" t="s">
        <v>5996</v>
      </c>
      <c r="H2038" s="1521">
        <v>0</v>
      </c>
      <c r="I2038" s="1521">
        <v>0</v>
      </c>
      <c r="J2038" s="1538">
        <v>0</v>
      </c>
      <c r="K2038" s="1525"/>
      <c r="L2038" s="1519">
        <v>13245000100</v>
      </c>
      <c r="M2038" s="1520">
        <v>0</v>
      </c>
      <c r="N2038" s="1520">
        <v>0</v>
      </c>
      <c r="O2038" s="1521">
        <v>0</v>
      </c>
    </row>
    <row r="2039" spans="3:15" ht="13.5">
      <c r="C2039" s="1526" t="s">
        <v>5997</v>
      </c>
      <c r="D2039" s="1523">
        <v>0</v>
      </c>
      <c r="E2039" s="1523">
        <v>0</v>
      </c>
      <c r="F2039" s="1524">
        <v>0</v>
      </c>
      <c r="G2039" s="1537" t="s">
        <v>5997</v>
      </c>
      <c r="H2039" s="1521">
        <v>0</v>
      </c>
      <c r="I2039" s="1521">
        <v>0</v>
      </c>
      <c r="J2039" s="1538">
        <v>0</v>
      </c>
      <c r="K2039" s="1525"/>
      <c r="L2039" s="1519">
        <v>13245000200</v>
      </c>
      <c r="M2039" s="1520">
        <v>0</v>
      </c>
      <c r="N2039" s="1520">
        <v>0</v>
      </c>
      <c r="O2039" s="1521">
        <v>0</v>
      </c>
    </row>
    <row r="2040" spans="3:15" ht="13.5">
      <c r="C2040" s="1526" t="s">
        <v>5998</v>
      </c>
      <c r="D2040" s="1523">
        <v>0</v>
      </c>
      <c r="E2040" s="1523">
        <v>0</v>
      </c>
      <c r="F2040" s="1524">
        <v>0</v>
      </c>
      <c r="G2040" s="1537" t="s">
        <v>5998</v>
      </c>
      <c r="H2040" s="1521">
        <v>0</v>
      </c>
      <c r="I2040" s="1521">
        <v>0</v>
      </c>
      <c r="J2040" s="1538">
        <v>0</v>
      </c>
      <c r="K2040" s="1525"/>
      <c r="L2040" s="1519">
        <v>13245000300</v>
      </c>
      <c r="M2040" s="1520">
        <v>0</v>
      </c>
      <c r="N2040" s="1520">
        <v>0</v>
      </c>
      <c r="O2040" s="1521">
        <v>0</v>
      </c>
    </row>
    <row r="2041" spans="3:15" ht="13.5">
      <c r="C2041" s="1526" t="s">
        <v>5999</v>
      </c>
      <c r="D2041" s="1523">
        <v>0</v>
      </c>
      <c r="E2041" s="1523">
        <v>0</v>
      </c>
      <c r="F2041" s="1524">
        <v>0</v>
      </c>
      <c r="G2041" s="1537" t="s">
        <v>5999</v>
      </c>
      <c r="H2041" s="1521">
        <v>0</v>
      </c>
      <c r="I2041" s="1521" t="s">
        <v>4096</v>
      </c>
      <c r="J2041" s="1538">
        <v>0</v>
      </c>
      <c r="K2041" s="1525"/>
      <c r="L2041" s="1519">
        <v>13245000600</v>
      </c>
      <c r="M2041" s="1520">
        <v>0</v>
      </c>
      <c r="N2041" s="1520">
        <v>0</v>
      </c>
      <c r="O2041" s="1521">
        <v>0</v>
      </c>
    </row>
    <row r="2042" spans="3:15" ht="13.5">
      <c r="C2042" s="1526" t="s">
        <v>6000</v>
      </c>
      <c r="D2042" s="1523">
        <v>0</v>
      </c>
      <c r="E2042" s="1523">
        <v>0</v>
      </c>
      <c r="F2042" s="1524">
        <v>0</v>
      </c>
      <c r="G2042" s="1537" t="s">
        <v>6000</v>
      </c>
      <c r="H2042" s="1521">
        <v>0</v>
      </c>
      <c r="I2042" s="1521">
        <v>0</v>
      </c>
      <c r="J2042" s="1538">
        <v>0</v>
      </c>
      <c r="K2042" s="1525"/>
      <c r="L2042" s="1519">
        <v>13245000700</v>
      </c>
      <c r="M2042" s="1520">
        <v>0</v>
      </c>
      <c r="N2042" s="1520">
        <v>0</v>
      </c>
      <c r="O2042" s="1521">
        <v>0</v>
      </c>
    </row>
    <row r="2043" spans="3:15" ht="13.5">
      <c r="C2043" s="1526" t="s">
        <v>6001</v>
      </c>
      <c r="D2043" s="1523">
        <v>0</v>
      </c>
      <c r="E2043" s="1523">
        <v>0</v>
      </c>
      <c r="F2043" s="1524">
        <v>0</v>
      </c>
      <c r="G2043" s="1537" t="s">
        <v>6001</v>
      </c>
      <c r="H2043" s="1521">
        <v>0</v>
      </c>
      <c r="I2043" s="1521">
        <v>0</v>
      </c>
      <c r="J2043" s="1538">
        <v>0</v>
      </c>
      <c r="K2043" s="1525"/>
      <c r="L2043" s="1519">
        <v>13245000900</v>
      </c>
      <c r="M2043" s="1520">
        <v>0</v>
      </c>
      <c r="N2043" s="1520">
        <v>0</v>
      </c>
      <c r="O2043" s="1521">
        <v>0</v>
      </c>
    </row>
    <row r="2044" spans="3:15" ht="13.5">
      <c r="C2044" s="1526" t="s">
        <v>6002</v>
      </c>
      <c r="D2044" s="1523">
        <v>0</v>
      </c>
      <c r="E2044" s="1523">
        <v>0</v>
      </c>
      <c r="F2044" s="1524">
        <v>0</v>
      </c>
      <c r="G2044" s="1537" t="s">
        <v>6002</v>
      </c>
      <c r="H2044" s="1521">
        <v>0</v>
      </c>
      <c r="I2044" s="1521">
        <v>0</v>
      </c>
      <c r="J2044" s="1538">
        <v>0</v>
      </c>
      <c r="K2044" s="1525"/>
      <c r="L2044" s="1519">
        <v>13245001000</v>
      </c>
      <c r="M2044" s="1520">
        <v>0</v>
      </c>
      <c r="N2044" s="1520">
        <v>0</v>
      </c>
      <c r="O2044" s="1521">
        <v>0</v>
      </c>
    </row>
    <row r="2045" spans="3:15" ht="13.5">
      <c r="C2045" s="1526" t="s">
        <v>6003</v>
      </c>
      <c r="D2045" s="1523">
        <v>1</v>
      </c>
      <c r="E2045" s="1523">
        <v>1</v>
      </c>
      <c r="F2045" s="1524">
        <v>2</v>
      </c>
      <c r="G2045" s="1537" t="s">
        <v>6003</v>
      </c>
      <c r="H2045" s="1521">
        <v>1</v>
      </c>
      <c r="I2045" s="1521" t="s">
        <v>4096</v>
      </c>
      <c r="J2045" s="1538">
        <v>1</v>
      </c>
      <c r="K2045" s="1525"/>
      <c r="L2045" s="1519">
        <v>13245001100</v>
      </c>
      <c r="M2045" s="1520">
        <v>1</v>
      </c>
      <c r="N2045" s="1520">
        <v>1</v>
      </c>
      <c r="O2045" s="1521">
        <v>2</v>
      </c>
    </row>
    <row r="2046" spans="3:15" ht="13.5">
      <c r="C2046" s="1526" t="s">
        <v>6004</v>
      </c>
      <c r="D2046" s="1523">
        <v>0</v>
      </c>
      <c r="E2046" s="1523">
        <v>0</v>
      </c>
      <c r="F2046" s="1524">
        <v>0</v>
      </c>
      <c r="G2046" s="1537" t="s">
        <v>6004</v>
      </c>
      <c r="H2046" s="1521">
        <v>0</v>
      </c>
      <c r="I2046" s="1521">
        <v>0</v>
      </c>
      <c r="J2046" s="1538">
        <v>0</v>
      </c>
      <c r="K2046" s="1525"/>
      <c r="L2046" s="1519">
        <v>13245001200</v>
      </c>
      <c r="M2046" s="1520">
        <v>0</v>
      </c>
      <c r="N2046" s="1520">
        <v>0</v>
      </c>
      <c r="O2046" s="1521">
        <v>0</v>
      </c>
    </row>
    <row r="2047" spans="3:15" ht="13.5">
      <c r="C2047" s="1526" t="s">
        <v>6005</v>
      </c>
      <c r="D2047" s="1523">
        <v>0</v>
      </c>
      <c r="E2047" s="1523">
        <v>0</v>
      </c>
      <c r="F2047" s="1524">
        <v>0</v>
      </c>
      <c r="G2047" s="1537" t="s">
        <v>6005</v>
      </c>
      <c r="H2047" s="1521">
        <v>0</v>
      </c>
      <c r="I2047" s="1521">
        <v>0</v>
      </c>
      <c r="J2047" s="1538">
        <v>0</v>
      </c>
      <c r="K2047" s="1525"/>
      <c r="L2047" s="1519">
        <v>13245001300</v>
      </c>
      <c r="M2047" s="1520">
        <v>0</v>
      </c>
      <c r="N2047" s="1520">
        <v>0</v>
      </c>
      <c r="O2047" s="1521">
        <v>0</v>
      </c>
    </row>
    <row r="2048" spans="3:15" ht="13.5">
      <c r="C2048" s="1526" t="s">
        <v>6006</v>
      </c>
      <c r="D2048" s="1523">
        <v>0</v>
      </c>
      <c r="E2048" s="1523">
        <v>0</v>
      </c>
      <c r="F2048" s="1524">
        <v>0</v>
      </c>
      <c r="G2048" s="1537" t="s">
        <v>6006</v>
      </c>
      <c r="H2048" s="1521">
        <v>0</v>
      </c>
      <c r="I2048" s="1521">
        <v>0</v>
      </c>
      <c r="J2048" s="1538">
        <v>0</v>
      </c>
      <c r="K2048" s="1525"/>
      <c r="L2048" s="1519">
        <v>13245001400</v>
      </c>
      <c r="M2048" s="1520">
        <v>0</v>
      </c>
      <c r="N2048" s="1520">
        <v>0</v>
      </c>
      <c r="O2048" s="1521">
        <v>0</v>
      </c>
    </row>
    <row r="2049" spans="3:15" ht="13.5">
      <c r="C2049" s="1526" t="s">
        <v>6007</v>
      </c>
      <c r="D2049" s="1523">
        <v>0</v>
      </c>
      <c r="E2049" s="1523">
        <v>0</v>
      </c>
      <c r="F2049" s="1524">
        <v>0</v>
      </c>
      <c r="G2049" s="1537" t="s">
        <v>6007</v>
      </c>
      <c r="H2049" s="1521">
        <v>0</v>
      </c>
      <c r="I2049" s="1521" t="s">
        <v>4096</v>
      </c>
      <c r="J2049" s="1538">
        <v>0</v>
      </c>
      <c r="K2049" s="1525"/>
      <c r="L2049" s="1519">
        <v>13245001500</v>
      </c>
      <c r="M2049" s="1520">
        <v>0</v>
      </c>
      <c r="N2049" s="1520">
        <v>0</v>
      </c>
      <c r="O2049" s="1521">
        <v>0</v>
      </c>
    </row>
    <row r="2050" spans="3:15" ht="13.5">
      <c r="C2050" s="1526" t="s">
        <v>6008</v>
      </c>
      <c r="D2050" s="1523">
        <v>0</v>
      </c>
      <c r="E2050" s="1523">
        <v>0</v>
      </c>
      <c r="F2050" s="1524">
        <v>0</v>
      </c>
      <c r="G2050" s="1537" t="s">
        <v>6008</v>
      </c>
      <c r="H2050" s="1521">
        <v>0</v>
      </c>
      <c r="I2050" s="1521">
        <v>0</v>
      </c>
      <c r="J2050" s="1538">
        <v>0</v>
      </c>
      <c r="K2050" s="1525"/>
      <c r="L2050" s="1519">
        <v>13245001601</v>
      </c>
      <c r="M2050" s="1520">
        <v>0</v>
      </c>
      <c r="N2050" s="1520">
        <v>0</v>
      </c>
      <c r="O2050" s="1521">
        <v>0</v>
      </c>
    </row>
    <row r="2051" spans="3:15" ht="13.5">
      <c r="C2051" s="1526" t="s">
        <v>6009</v>
      </c>
      <c r="D2051" s="1523">
        <v>1</v>
      </c>
      <c r="E2051" s="1523">
        <v>1</v>
      </c>
      <c r="F2051" s="1524">
        <v>2</v>
      </c>
      <c r="G2051" s="1537" t="s">
        <v>6009</v>
      </c>
      <c r="H2051" s="1521">
        <v>1</v>
      </c>
      <c r="I2051" s="1521">
        <v>1</v>
      </c>
      <c r="J2051" s="1538">
        <v>2</v>
      </c>
      <c r="K2051" s="1525"/>
      <c r="L2051" s="1519">
        <v>13245001602</v>
      </c>
      <c r="M2051" s="1520">
        <v>1</v>
      </c>
      <c r="N2051" s="1520">
        <v>1</v>
      </c>
      <c r="O2051" s="1521">
        <v>2</v>
      </c>
    </row>
    <row r="2052" spans="3:15" ht="13.5">
      <c r="C2052" s="1526" t="s">
        <v>6010</v>
      </c>
      <c r="D2052" s="1523">
        <v>0</v>
      </c>
      <c r="E2052" s="1523">
        <v>0</v>
      </c>
      <c r="F2052" s="1524">
        <v>0</v>
      </c>
      <c r="G2052" s="1537" t="s">
        <v>6010</v>
      </c>
      <c r="H2052" s="1521">
        <v>1</v>
      </c>
      <c r="I2052" s="1521">
        <v>0</v>
      </c>
      <c r="J2052" s="1538">
        <v>1</v>
      </c>
      <c r="K2052" s="1525"/>
      <c r="L2052" s="1519">
        <v>13245010101</v>
      </c>
      <c r="M2052" s="1520">
        <v>1</v>
      </c>
      <c r="N2052" s="1520">
        <v>0</v>
      </c>
      <c r="O2052" s="1521">
        <v>1</v>
      </c>
    </row>
    <row r="2053" spans="3:15" ht="13.5">
      <c r="C2053" s="1526" t="s">
        <v>6011</v>
      </c>
      <c r="D2053" s="1523">
        <v>1</v>
      </c>
      <c r="E2053" s="1523">
        <v>1</v>
      </c>
      <c r="F2053" s="1524">
        <v>2</v>
      </c>
      <c r="G2053" s="1537" t="s">
        <v>6011</v>
      </c>
      <c r="H2053" s="1521">
        <v>1</v>
      </c>
      <c r="I2053" s="1521">
        <v>0</v>
      </c>
      <c r="J2053" s="1538">
        <v>1</v>
      </c>
      <c r="K2053" s="1525"/>
      <c r="L2053" s="1519">
        <v>13245010104</v>
      </c>
      <c r="M2053" s="1520">
        <v>1</v>
      </c>
      <c r="N2053" s="1520">
        <v>1</v>
      </c>
      <c r="O2053" s="1521">
        <v>2</v>
      </c>
    </row>
    <row r="2054" spans="3:15" ht="13.5">
      <c r="C2054" s="1526" t="s">
        <v>6012</v>
      </c>
      <c r="D2054" s="1523">
        <v>0</v>
      </c>
      <c r="E2054" s="1523">
        <v>0</v>
      </c>
      <c r="F2054" s="1524">
        <v>0</v>
      </c>
      <c r="G2054" s="1537" t="s">
        <v>6012</v>
      </c>
      <c r="H2054" s="1521">
        <v>0</v>
      </c>
      <c r="I2054" s="1521">
        <v>0</v>
      </c>
      <c r="J2054" s="1538">
        <v>0</v>
      </c>
      <c r="K2054" s="1525"/>
      <c r="L2054" s="1519">
        <v>13245010105</v>
      </c>
      <c r="M2054" s="1520">
        <v>0</v>
      </c>
      <c r="N2054" s="1520">
        <v>0</v>
      </c>
      <c r="O2054" s="1521">
        <v>0</v>
      </c>
    </row>
    <row r="2055" spans="3:15" ht="13.5">
      <c r="C2055" s="1526" t="s">
        <v>6013</v>
      </c>
      <c r="D2055" s="1523">
        <v>1</v>
      </c>
      <c r="E2055" s="1523">
        <v>0</v>
      </c>
      <c r="F2055" s="1524">
        <v>1</v>
      </c>
      <c r="G2055" s="1537" t="s">
        <v>6013</v>
      </c>
      <c r="H2055" s="1521">
        <v>1</v>
      </c>
      <c r="I2055" s="1521">
        <v>1</v>
      </c>
      <c r="J2055" s="1538">
        <v>2</v>
      </c>
      <c r="K2055" s="1525"/>
      <c r="L2055" s="1519">
        <v>13245010106</v>
      </c>
      <c r="M2055" s="1520">
        <v>1</v>
      </c>
      <c r="N2055" s="1520">
        <v>1</v>
      </c>
      <c r="O2055" s="1521">
        <v>2</v>
      </c>
    </row>
    <row r="2056" spans="3:15" ht="13.5">
      <c r="C2056" s="1526" t="s">
        <v>6014</v>
      </c>
      <c r="D2056" s="1523">
        <v>1</v>
      </c>
      <c r="E2056" s="1523">
        <v>0</v>
      </c>
      <c r="F2056" s="1524">
        <v>1</v>
      </c>
      <c r="G2056" s="1537" t="s">
        <v>6014</v>
      </c>
      <c r="H2056" s="1521">
        <v>1</v>
      </c>
      <c r="I2056" s="1521">
        <v>1</v>
      </c>
      <c r="J2056" s="1538">
        <v>2</v>
      </c>
      <c r="K2056" s="1525"/>
      <c r="L2056" s="1519">
        <v>13245010107</v>
      </c>
      <c r="M2056" s="1520">
        <v>1</v>
      </c>
      <c r="N2056" s="1520">
        <v>1</v>
      </c>
      <c r="O2056" s="1521">
        <v>2</v>
      </c>
    </row>
    <row r="2057" spans="3:15" ht="13.5">
      <c r="C2057" s="1526" t="s">
        <v>6015</v>
      </c>
      <c r="D2057" s="1523">
        <v>1</v>
      </c>
      <c r="E2057" s="1523">
        <v>1</v>
      </c>
      <c r="F2057" s="1524">
        <v>2</v>
      </c>
      <c r="G2057" s="1537" t="s">
        <v>6015</v>
      </c>
      <c r="H2057" s="1521">
        <v>1</v>
      </c>
      <c r="I2057" s="1521">
        <v>1</v>
      </c>
      <c r="J2057" s="1538">
        <v>2</v>
      </c>
      <c r="K2057" s="1525"/>
      <c r="L2057" s="1519">
        <v>13245010201</v>
      </c>
      <c r="M2057" s="1520">
        <v>1</v>
      </c>
      <c r="N2057" s="1520">
        <v>1</v>
      </c>
      <c r="O2057" s="1521">
        <v>2</v>
      </c>
    </row>
    <row r="2058" spans="3:15" ht="13.5">
      <c r="C2058" s="1526" t="s">
        <v>6016</v>
      </c>
      <c r="D2058" s="1523">
        <v>0</v>
      </c>
      <c r="E2058" s="1523">
        <v>0</v>
      </c>
      <c r="F2058" s="1524">
        <v>0</v>
      </c>
      <c r="G2058" s="1537" t="s">
        <v>6016</v>
      </c>
      <c r="H2058" s="1521">
        <v>0</v>
      </c>
      <c r="I2058" s="1521">
        <v>0</v>
      </c>
      <c r="J2058" s="1538">
        <v>0</v>
      </c>
      <c r="K2058" s="1525"/>
      <c r="L2058" s="1519">
        <v>13245010203</v>
      </c>
      <c r="M2058" s="1520">
        <v>0</v>
      </c>
      <c r="N2058" s="1520">
        <v>0</v>
      </c>
      <c r="O2058" s="1521">
        <v>0</v>
      </c>
    </row>
    <row r="2059" spans="3:15" ht="13.5">
      <c r="C2059" s="1526" t="s">
        <v>6017</v>
      </c>
      <c r="D2059" s="1523">
        <v>0</v>
      </c>
      <c r="E2059" s="1523">
        <v>0</v>
      </c>
      <c r="F2059" s="1524">
        <v>0</v>
      </c>
      <c r="G2059" s="1537" t="s">
        <v>6017</v>
      </c>
      <c r="H2059" s="1521">
        <v>0</v>
      </c>
      <c r="I2059" s="1521">
        <v>0</v>
      </c>
      <c r="J2059" s="1538">
        <v>0</v>
      </c>
      <c r="K2059" s="1525"/>
      <c r="L2059" s="1519">
        <v>13245010204</v>
      </c>
      <c r="M2059" s="1520">
        <v>0</v>
      </c>
      <c r="N2059" s="1520">
        <v>0</v>
      </c>
      <c r="O2059" s="1521">
        <v>0</v>
      </c>
    </row>
    <row r="2060" spans="3:15" ht="13.5">
      <c r="C2060" s="1526" t="s">
        <v>6018</v>
      </c>
      <c r="D2060" s="1523">
        <v>0</v>
      </c>
      <c r="E2060" s="1523">
        <v>0</v>
      </c>
      <c r="F2060" s="1524">
        <v>0</v>
      </c>
      <c r="G2060" s="1537" t="s">
        <v>6018</v>
      </c>
      <c r="H2060" s="1521">
        <v>0</v>
      </c>
      <c r="I2060" s="1521">
        <v>0</v>
      </c>
      <c r="J2060" s="1538">
        <v>0</v>
      </c>
      <c r="K2060" s="1525"/>
      <c r="L2060" s="1519">
        <v>13245010300</v>
      </c>
      <c r="M2060" s="1520">
        <v>0</v>
      </c>
      <c r="N2060" s="1520">
        <v>0</v>
      </c>
      <c r="O2060" s="1521">
        <v>0</v>
      </c>
    </row>
    <row r="2061" spans="3:15" ht="13.5">
      <c r="C2061" s="1526" t="s">
        <v>6019</v>
      </c>
      <c r="D2061" s="1523">
        <v>0</v>
      </c>
      <c r="E2061" s="1523">
        <v>0</v>
      </c>
      <c r="F2061" s="1524">
        <v>0</v>
      </c>
      <c r="G2061" s="1537" t="s">
        <v>6019</v>
      </c>
      <c r="H2061" s="1521">
        <v>0</v>
      </c>
      <c r="I2061" s="1521">
        <v>0</v>
      </c>
      <c r="J2061" s="1538">
        <v>0</v>
      </c>
      <c r="K2061" s="1525"/>
      <c r="L2061" s="1519">
        <v>13245010400</v>
      </c>
      <c r="M2061" s="1520">
        <v>0</v>
      </c>
      <c r="N2061" s="1520">
        <v>0</v>
      </c>
      <c r="O2061" s="1521">
        <v>0</v>
      </c>
    </row>
    <row r="2062" spans="3:15" ht="13.5">
      <c r="C2062" s="1526" t="s">
        <v>6020</v>
      </c>
      <c r="D2062" s="1523">
        <v>0</v>
      </c>
      <c r="E2062" s="1523">
        <v>0</v>
      </c>
      <c r="F2062" s="1524">
        <v>0</v>
      </c>
      <c r="G2062" s="1537" t="s">
        <v>6020</v>
      </c>
      <c r="H2062" s="1521">
        <v>0</v>
      </c>
      <c r="I2062" s="1521">
        <v>0</v>
      </c>
      <c r="J2062" s="1538">
        <v>0</v>
      </c>
      <c r="K2062" s="1525"/>
      <c r="L2062" s="1519">
        <v>13245010504</v>
      </c>
      <c r="M2062" s="1520">
        <v>0</v>
      </c>
      <c r="N2062" s="1520">
        <v>0</v>
      </c>
      <c r="O2062" s="1521">
        <v>0</v>
      </c>
    </row>
    <row r="2063" spans="3:15" ht="13.5">
      <c r="C2063" s="1526" t="s">
        <v>6021</v>
      </c>
      <c r="D2063" s="1523">
        <v>0</v>
      </c>
      <c r="E2063" s="1523">
        <v>0</v>
      </c>
      <c r="F2063" s="1524">
        <v>0</v>
      </c>
      <c r="G2063" s="1537" t="s">
        <v>6021</v>
      </c>
      <c r="H2063" s="1521">
        <v>0</v>
      </c>
      <c r="I2063" s="1521">
        <v>1</v>
      </c>
      <c r="J2063" s="1538">
        <v>1</v>
      </c>
      <c r="K2063" s="1525"/>
      <c r="L2063" s="1519">
        <v>13245010506</v>
      </c>
      <c r="M2063" s="1520">
        <v>0</v>
      </c>
      <c r="N2063" s="1520">
        <v>1</v>
      </c>
      <c r="O2063" s="1521">
        <v>1</v>
      </c>
    </row>
    <row r="2064" spans="3:15" ht="13.5">
      <c r="C2064" s="1526" t="s">
        <v>6022</v>
      </c>
      <c r="D2064" s="1523">
        <v>0</v>
      </c>
      <c r="E2064" s="1523">
        <v>0</v>
      </c>
      <c r="F2064" s="1524">
        <v>0</v>
      </c>
      <c r="G2064" s="1537" t="s">
        <v>6022</v>
      </c>
      <c r="H2064" s="1521">
        <v>0</v>
      </c>
      <c r="I2064" s="1521">
        <v>0</v>
      </c>
      <c r="J2064" s="1538">
        <v>0</v>
      </c>
      <c r="K2064" s="1525"/>
      <c r="L2064" s="1519">
        <v>13245010507</v>
      </c>
      <c r="M2064" s="1520">
        <v>0</v>
      </c>
      <c r="N2064" s="1520">
        <v>0</v>
      </c>
      <c r="O2064" s="1521">
        <v>0</v>
      </c>
    </row>
    <row r="2065" spans="3:15" ht="13.5">
      <c r="C2065" s="1526" t="s">
        <v>6023</v>
      </c>
      <c r="D2065" s="1523">
        <v>0</v>
      </c>
      <c r="E2065" s="1523">
        <v>0</v>
      </c>
      <c r="F2065" s="1524">
        <v>0</v>
      </c>
      <c r="G2065" s="1537" t="s">
        <v>6023</v>
      </c>
      <c r="H2065" s="1521">
        <v>0</v>
      </c>
      <c r="I2065" s="1521">
        <v>0</v>
      </c>
      <c r="J2065" s="1538">
        <v>0</v>
      </c>
      <c r="K2065" s="1525"/>
      <c r="L2065" s="1519">
        <v>13245010508</v>
      </c>
      <c r="M2065" s="1520">
        <v>0</v>
      </c>
      <c r="N2065" s="1520">
        <v>0</v>
      </c>
      <c r="O2065" s="1521">
        <v>0</v>
      </c>
    </row>
    <row r="2066" spans="3:15" ht="13.5">
      <c r="C2066" s="1526" t="s">
        <v>6024</v>
      </c>
      <c r="D2066" s="1523">
        <v>0</v>
      </c>
      <c r="E2066" s="1523">
        <v>0</v>
      </c>
      <c r="F2066" s="1524">
        <v>0</v>
      </c>
      <c r="G2066" s="1537" t="s">
        <v>6024</v>
      </c>
      <c r="H2066" s="1521">
        <v>0</v>
      </c>
      <c r="I2066" s="1521">
        <v>0</v>
      </c>
      <c r="J2066" s="1538">
        <v>0</v>
      </c>
      <c r="K2066" s="1525"/>
      <c r="L2066" s="1519">
        <v>13245010509</v>
      </c>
      <c r="M2066" s="1520">
        <v>0</v>
      </c>
      <c r="N2066" s="1520">
        <v>0</v>
      </c>
      <c r="O2066" s="1521">
        <v>0</v>
      </c>
    </row>
    <row r="2067" spans="3:15" ht="13.5">
      <c r="C2067" s="1526" t="s">
        <v>6025</v>
      </c>
      <c r="D2067" s="1523">
        <v>0</v>
      </c>
      <c r="E2067" s="1523">
        <v>0</v>
      </c>
      <c r="F2067" s="1524">
        <v>0</v>
      </c>
      <c r="G2067" s="1537" t="s">
        <v>6025</v>
      </c>
      <c r="H2067" s="1521">
        <v>0</v>
      </c>
      <c r="I2067" s="1521">
        <v>0</v>
      </c>
      <c r="J2067" s="1538">
        <v>0</v>
      </c>
      <c r="K2067" s="1525"/>
      <c r="L2067" s="1519">
        <v>13245010510</v>
      </c>
      <c r="M2067" s="1520">
        <v>0</v>
      </c>
      <c r="N2067" s="1520">
        <v>0</v>
      </c>
      <c r="O2067" s="1521">
        <v>0</v>
      </c>
    </row>
    <row r="2068" spans="3:15" ht="13.5">
      <c r="C2068" s="1526" t="s">
        <v>6026</v>
      </c>
      <c r="D2068" s="1523">
        <v>0</v>
      </c>
      <c r="E2068" s="1523">
        <v>0</v>
      </c>
      <c r="F2068" s="1524">
        <v>0</v>
      </c>
      <c r="G2068" s="1537" t="s">
        <v>6026</v>
      </c>
      <c r="H2068" s="1521">
        <v>0</v>
      </c>
      <c r="I2068" s="1521">
        <v>0</v>
      </c>
      <c r="J2068" s="1538">
        <v>0</v>
      </c>
      <c r="K2068" s="1525"/>
      <c r="L2068" s="1519">
        <v>13245010511</v>
      </c>
      <c r="M2068" s="1520">
        <v>0</v>
      </c>
      <c r="N2068" s="1520">
        <v>0</v>
      </c>
      <c r="O2068" s="1521">
        <v>0</v>
      </c>
    </row>
    <row r="2069" spans="3:15" ht="13.5">
      <c r="C2069" s="1526" t="s">
        <v>6027</v>
      </c>
      <c r="D2069" s="1523">
        <v>0</v>
      </c>
      <c r="E2069" s="1523">
        <v>0</v>
      </c>
      <c r="F2069" s="1524">
        <v>0</v>
      </c>
      <c r="G2069" s="1537" t="s">
        <v>6027</v>
      </c>
      <c r="H2069" s="1521">
        <v>0</v>
      </c>
      <c r="I2069" s="1521">
        <v>0</v>
      </c>
      <c r="J2069" s="1538">
        <v>0</v>
      </c>
      <c r="K2069" s="1525"/>
      <c r="L2069" s="1519">
        <v>13245010512</v>
      </c>
      <c r="M2069" s="1520">
        <v>0</v>
      </c>
      <c r="N2069" s="1520">
        <v>0</v>
      </c>
      <c r="O2069" s="1521">
        <v>0</v>
      </c>
    </row>
    <row r="2070" spans="3:15" ht="13.5">
      <c r="C2070" s="1526" t="s">
        <v>6028</v>
      </c>
      <c r="D2070" s="1523">
        <v>0</v>
      </c>
      <c r="E2070" s="1523">
        <v>0</v>
      </c>
      <c r="F2070" s="1524">
        <v>0</v>
      </c>
      <c r="G2070" s="1537" t="s">
        <v>6028</v>
      </c>
      <c r="H2070" s="1521">
        <v>0</v>
      </c>
      <c r="I2070" s="1521" t="s">
        <v>4096</v>
      </c>
      <c r="J2070" s="1538">
        <v>0</v>
      </c>
      <c r="K2070" s="1525"/>
      <c r="L2070" s="1519">
        <v>13245010513</v>
      </c>
      <c r="M2070" s="1520">
        <v>0</v>
      </c>
      <c r="N2070" s="1520">
        <v>0</v>
      </c>
      <c r="O2070" s="1521">
        <v>0</v>
      </c>
    </row>
    <row r="2071" spans="3:15" ht="13.5">
      <c r="C2071" s="1526" t="s">
        <v>6029</v>
      </c>
      <c r="D2071" s="1523">
        <v>0</v>
      </c>
      <c r="E2071" s="1523">
        <v>0</v>
      </c>
      <c r="F2071" s="1524">
        <v>0</v>
      </c>
      <c r="G2071" s="1537" t="s">
        <v>6029</v>
      </c>
      <c r="H2071" s="1521">
        <v>0</v>
      </c>
      <c r="I2071" s="1521">
        <v>0</v>
      </c>
      <c r="J2071" s="1538">
        <v>0</v>
      </c>
      <c r="K2071" s="1525"/>
      <c r="L2071" s="1519">
        <v>13245010600</v>
      </c>
      <c r="M2071" s="1520">
        <v>0</v>
      </c>
      <c r="N2071" s="1520">
        <v>0</v>
      </c>
      <c r="O2071" s="1521">
        <v>0</v>
      </c>
    </row>
    <row r="2072" spans="3:15" ht="13.5">
      <c r="C2072" s="1526" t="s">
        <v>6030</v>
      </c>
      <c r="D2072" s="1523">
        <v>0</v>
      </c>
      <c r="E2072" s="1523">
        <v>0</v>
      </c>
      <c r="F2072" s="1524">
        <v>0</v>
      </c>
      <c r="G2072" s="1537" t="s">
        <v>6030</v>
      </c>
      <c r="H2072" s="1521">
        <v>0</v>
      </c>
      <c r="I2072" s="1521">
        <v>0</v>
      </c>
      <c r="J2072" s="1538">
        <v>0</v>
      </c>
      <c r="K2072" s="1525"/>
      <c r="L2072" s="1519">
        <v>13245010706</v>
      </c>
      <c r="M2072" s="1520">
        <v>0</v>
      </c>
      <c r="N2072" s="1520">
        <v>0</v>
      </c>
      <c r="O2072" s="1521">
        <v>0</v>
      </c>
    </row>
    <row r="2073" spans="3:15" ht="13.5">
      <c r="C2073" s="1526" t="s">
        <v>6031</v>
      </c>
      <c r="D2073" s="1523">
        <v>0</v>
      </c>
      <c r="E2073" s="1523">
        <v>0</v>
      </c>
      <c r="F2073" s="1524">
        <v>0</v>
      </c>
      <c r="G2073" s="1537" t="s">
        <v>6031</v>
      </c>
      <c r="H2073" s="1521">
        <v>0</v>
      </c>
      <c r="I2073" s="1521">
        <v>0</v>
      </c>
      <c r="J2073" s="1538">
        <v>0</v>
      </c>
      <c r="K2073" s="1525"/>
      <c r="L2073" s="1519">
        <v>13245010707</v>
      </c>
      <c r="M2073" s="1520">
        <v>0</v>
      </c>
      <c r="N2073" s="1520">
        <v>0</v>
      </c>
      <c r="O2073" s="1521">
        <v>0</v>
      </c>
    </row>
    <row r="2074" spans="3:15" ht="13.5">
      <c r="C2074" s="1526" t="s">
        <v>6032</v>
      </c>
      <c r="D2074" s="1523">
        <v>0</v>
      </c>
      <c r="E2074" s="1523">
        <v>0</v>
      </c>
      <c r="F2074" s="1524">
        <v>0</v>
      </c>
      <c r="G2074" s="1537" t="s">
        <v>6032</v>
      </c>
      <c r="H2074" s="1521">
        <v>0</v>
      </c>
      <c r="I2074" s="1521">
        <v>1</v>
      </c>
      <c r="J2074" s="1538">
        <v>1</v>
      </c>
      <c r="K2074" s="1525"/>
      <c r="L2074" s="1519">
        <v>13245010708</v>
      </c>
      <c r="M2074" s="1520">
        <v>0</v>
      </c>
      <c r="N2074" s="1520">
        <v>1</v>
      </c>
      <c r="O2074" s="1521">
        <v>1</v>
      </c>
    </row>
    <row r="2075" spans="3:15" ht="13.5">
      <c r="C2075" s="1526" t="s">
        <v>6033</v>
      </c>
      <c r="D2075" s="1523">
        <v>1</v>
      </c>
      <c r="E2075" s="1523">
        <v>0</v>
      </c>
      <c r="F2075" s="1524">
        <v>1</v>
      </c>
      <c r="G2075" s="1537" t="s">
        <v>6033</v>
      </c>
      <c r="H2075" s="1521">
        <v>1</v>
      </c>
      <c r="I2075" s="1521">
        <v>1</v>
      </c>
      <c r="J2075" s="1538">
        <v>2</v>
      </c>
      <c r="K2075" s="1525"/>
      <c r="L2075" s="1519">
        <v>13245010709</v>
      </c>
      <c r="M2075" s="1520">
        <v>1</v>
      </c>
      <c r="N2075" s="1520">
        <v>1</v>
      </c>
      <c r="O2075" s="1521">
        <v>2</v>
      </c>
    </row>
    <row r="2076" spans="3:15" ht="13.5">
      <c r="C2076" s="1526" t="s">
        <v>6034</v>
      </c>
      <c r="D2076" s="1523">
        <v>0</v>
      </c>
      <c r="E2076" s="1523">
        <v>0</v>
      </c>
      <c r="F2076" s="1524">
        <v>0</v>
      </c>
      <c r="G2076" s="1537" t="s">
        <v>6034</v>
      </c>
      <c r="H2076" s="1521">
        <v>0</v>
      </c>
      <c r="I2076" s="1521" t="s">
        <v>4096</v>
      </c>
      <c r="J2076" s="1538">
        <v>0</v>
      </c>
      <c r="K2076" s="1525"/>
      <c r="L2076" s="1519">
        <v>13245010710</v>
      </c>
      <c r="M2076" s="1520">
        <v>0</v>
      </c>
      <c r="N2076" s="1520">
        <v>0</v>
      </c>
      <c r="O2076" s="1521">
        <v>0</v>
      </c>
    </row>
    <row r="2077" spans="3:15" ht="13.5">
      <c r="C2077" s="1526" t="s">
        <v>6035</v>
      </c>
      <c r="D2077" s="1523">
        <v>0</v>
      </c>
      <c r="E2077" s="1523">
        <v>0</v>
      </c>
      <c r="F2077" s="1524">
        <v>0</v>
      </c>
      <c r="G2077" s="1537" t="s">
        <v>6035</v>
      </c>
      <c r="H2077" s="1521">
        <v>0</v>
      </c>
      <c r="I2077" s="1521">
        <v>0</v>
      </c>
      <c r="J2077" s="1538">
        <v>0</v>
      </c>
      <c r="K2077" s="1525"/>
      <c r="L2077" s="1519">
        <v>13245010711</v>
      </c>
      <c r="M2077" s="1520">
        <v>0</v>
      </c>
      <c r="N2077" s="1520">
        <v>0</v>
      </c>
      <c r="O2077" s="1521">
        <v>0</v>
      </c>
    </row>
    <row r="2078" spans="3:15" ht="13.5">
      <c r="C2078" s="1526" t="s">
        <v>6036</v>
      </c>
      <c r="D2078" s="1523">
        <v>0</v>
      </c>
      <c r="E2078" s="1523">
        <v>0</v>
      </c>
      <c r="F2078" s="1524">
        <v>0</v>
      </c>
      <c r="G2078" s="1537" t="s">
        <v>6036</v>
      </c>
      <c r="H2078" s="1521">
        <v>0</v>
      </c>
      <c r="I2078" s="1521">
        <v>0</v>
      </c>
      <c r="J2078" s="1538">
        <v>0</v>
      </c>
      <c r="K2078" s="1525"/>
      <c r="L2078" s="1519">
        <v>13245010712</v>
      </c>
      <c r="M2078" s="1520">
        <v>0</v>
      </c>
      <c r="N2078" s="1520">
        <v>0</v>
      </c>
      <c r="O2078" s="1521">
        <v>0</v>
      </c>
    </row>
    <row r="2079" spans="3:15" ht="13.5">
      <c r="C2079" s="1526" t="s">
        <v>6037</v>
      </c>
      <c r="D2079" s="1523">
        <v>0</v>
      </c>
      <c r="E2079" s="1523">
        <v>1</v>
      </c>
      <c r="F2079" s="1524">
        <v>1</v>
      </c>
      <c r="G2079" s="1537" t="s">
        <v>6037</v>
      </c>
      <c r="H2079" s="1521">
        <v>0</v>
      </c>
      <c r="I2079" s="1521" t="s">
        <v>4096</v>
      </c>
      <c r="J2079" s="1538">
        <v>0</v>
      </c>
      <c r="K2079" s="1525"/>
      <c r="L2079" s="1519">
        <v>13245010800</v>
      </c>
      <c r="M2079" s="1520">
        <v>0</v>
      </c>
      <c r="N2079" s="1520">
        <v>1</v>
      </c>
      <c r="O2079" s="1521">
        <v>1</v>
      </c>
    </row>
    <row r="2080" spans="3:15" ht="13.5">
      <c r="C2080" s="1526" t="s">
        <v>6038</v>
      </c>
      <c r="D2080" s="1523">
        <v>0</v>
      </c>
      <c r="E2080" s="1523">
        <v>0</v>
      </c>
      <c r="F2080" s="1524">
        <v>0</v>
      </c>
      <c r="G2080" s="1537" t="s">
        <v>6038</v>
      </c>
      <c r="H2080" s="1521">
        <v>0</v>
      </c>
      <c r="I2080" s="1521">
        <v>0</v>
      </c>
      <c r="J2080" s="1538">
        <v>0</v>
      </c>
      <c r="K2080" s="1525"/>
      <c r="L2080" s="1519">
        <v>13245010903</v>
      </c>
      <c r="M2080" s="1520">
        <v>0</v>
      </c>
      <c r="N2080" s="1520">
        <v>0</v>
      </c>
      <c r="O2080" s="1521">
        <v>0</v>
      </c>
    </row>
    <row r="2081" spans="3:15" ht="13.5">
      <c r="C2081" s="1526" t="s">
        <v>6039</v>
      </c>
      <c r="D2081" s="1523">
        <v>0</v>
      </c>
      <c r="E2081" s="1523">
        <v>0</v>
      </c>
      <c r="F2081" s="1524">
        <v>0</v>
      </c>
      <c r="G2081" s="1537" t="s">
        <v>6039</v>
      </c>
      <c r="H2081" s="1521">
        <v>0</v>
      </c>
      <c r="I2081" s="1521">
        <v>0</v>
      </c>
      <c r="J2081" s="1538">
        <v>0</v>
      </c>
      <c r="K2081" s="1525"/>
      <c r="L2081" s="1519">
        <v>13245010904</v>
      </c>
      <c r="M2081" s="1520">
        <v>0</v>
      </c>
      <c r="N2081" s="1520">
        <v>0</v>
      </c>
      <c r="O2081" s="1521">
        <v>0</v>
      </c>
    </row>
    <row r="2082" spans="3:15" ht="13.5">
      <c r="C2082" s="1526" t="s">
        <v>6040</v>
      </c>
      <c r="D2082" s="1523">
        <v>0</v>
      </c>
      <c r="E2082" s="1523">
        <v>0</v>
      </c>
      <c r="F2082" s="1524">
        <v>0</v>
      </c>
      <c r="G2082" s="1537" t="s">
        <v>6040</v>
      </c>
      <c r="H2082" s="1521">
        <v>0</v>
      </c>
      <c r="I2082" s="1521">
        <v>0</v>
      </c>
      <c r="J2082" s="1538">
        <v>0</v>
      </c>
      <c r="K2082" s="1525"/>
      <c r="L2082" s="1519">
        <v>13245010905</v>
      </c>
      <c r="M2082" s="1520">
        <v>0</v>
      </c>
      <c r="N2082" s="1520">
        <v>0</v>
      </c>
      <c r="O2082" s="1521">
        <v>0</v>
      </c>
    </row>
    <row r="2083" spans="3:15" ht="13.5">
      <c r="C2083" s="1526" t="s">
        <v>6041</v>
      </c>
      <c r="D2083" s="1523">
        <v>0</v>
      </c>
      <c r="E2083" s="1523">
        <v>1</v>
      </c>
      <c r="F2083" s="1524">
        <v>1</v>
      </c>
      <c r="G2083" s="1537" t="s">
        <v>6041</v>
      </c>
      <c r="H2083" s="1521">
        <v>0</v>
      </c>
      <c r="I2083" s="1521">
        <v>1</v>
      </c>
      <c r="J2083" s="1538">
        <v>1</v>
      </c>
      <c r="K2083" s="1525"/>
      <c r="L2083" s="1519">
        <v>13245010906</v>
      </c>
      <c r="M2083" s="1520">
        <v>0</v>
      </c>
      <c r="N2083" s="1520">
        <v>1</v>
      </c>
      <c r="O2083" s="1521">
        <v>1</v>
      </c>
    </row>
    <row r="2084" spans="3:15" ht="13.5">
      <c r="C2084" s="1526" t="s">
        <v>6042</v>
      </c>
      <c r="D2084" s="1523">
        <v>0</v>
      </c>
      <c r="E2084" s="1523">
        <v>0</v>
      </c>
      <c r="F2084" s="1524">
        <v>0</v>
      </c>
      <c r="G2084" s="1537" t="s">
        <v>6042</v>
      </c>
      <c r="H2084" s="1521">
        <v>0</v>
      </c>
      <c r="I2084" s="1521">
        <v>0</v>
      </c>
      <c r="J2084" s="1538">
        <v>0</v>
      </c>
      <c r="K2084" s="1525"/>
      <c r="L2084" s="1519">
        <v>13245011000</v>
      </c>
      <c r="M2084" s="1520">
        <v>0</v>
      </c>
      <c r="N2084" s="1520">
        <v>0</v>
      </c>
      <c r="O2084" s="1521">
        <v>0</v>
      </c>
    </row>
    <row r="2085" spans="3:15" ht="13.5">
      <c r="C2085" s="1526" t="s">
        <v>6043</v>
      </c>
      <c r="D2085" s="1523">
        <v>0</v>
      </c>
      <c r="E2085" s="1523">
        <v>1</v>
      </c>
      <c r="F2085" s="1524">
        <v>1</v>
      </c>
      <c r="G2085" s="1537" t="s">
        <v>6043</v>
      </c>
      <c r="H2085" s="1521">
        <v>1</v>
      </c>
      <c r="I2085" s="1521">
        <v>1</v>
      </c>
      <c r="J2085" s="1538">
        <v>2</v>
      </c>
      <c r="K2085" s="1525"/>
      <c r="L2085" s="1519">
        <v>13247060101</v>
      </c>
      <c r="M2085" s="1520">
        <v>1</v>
      </c>
      <c r="N2085" s="1520">
        <v>1</v>
      </c>
      <c r="O2085" s="1521">
        <v>2</v>
      </c>
    </row>
    <row r="2086" spans="3:15" ht="13.5">
      <c r="C2086" s="1526" t="s">
        <v>6044</v>
      </c>
      <c r="D2086" s="1523">
        <v>0</v>
      </c>
      <c r="E2086" s="1523">
        <v>1</v>
      </c>
      <c r="F2086" s="1524">
        <v>1</v>
      </c>
      <c r="G2086" s="1537" t="s">
        <v>6044</v>
      </c>
      <c r="H2086" s="1521">
        <v>1</v>
      </c>
      <c r="I2086" s="1521">
        <v>1</v>
      </c>
      <c r="J2086" s="1538">
        <v>2</v>
      </c>
      <c r="K2086" s="1525"/>
      <c r="L2086" s="1519">
        <v>13247060102</v>
      </c>
      <c r="M2086" s="1520">
        <v>1</v>
      </c>
      <c r="N2086" s="1520">
        <v>1</v>
      </c>
      <c r="O2086" s="1521">
        <v>2</v>
      </c>
    </row>
    <row r="2087" spans="3:15" ht="13.5">
      <c r="C2087" s="1526" t="s">
        <v>6045</v>
      </c>
      <c r="D2087" s="1523">
        <v>0</v>
      </c>
      <c r="E2087" s="1523">
        <v>0</v>
      </c>
      <c r="F2087" s="1524">
        <v>0</v>
      </c>
      <c r="G2087" s="1537" t="s">
        <v>6045</v>
      </c>
      <c r="H2087" s="1521">
        <v>0</v>
      </c>
      <c r="I2087" s="1521">
        <v>0</v>
      </c>
      <c r="J2087" s="1538">
        <v>0</v>
      </c>
      <c r="K2087" s="1525"/>
      <c r="L2087" s="1519">
        <v>13247060201</v>
      </c>
      <c r="M2087" s="1520">
        <v>0</v>
      </c>
      <c r="N2087" s="1520">
        <v>0</v>
      </c>
      <c r="O2087" s="1521">
        <v>0</v>
      </c>
    </row>
    <row r="2088" spans="3:15" ht="13.5">
      <c r="C2088" s="1526" t="s">
        <v>6046</v>
      </c>
      <c r="D2088" s="1523">
        <v>1</v>
      </c>
      <c r="E2088" s="1523">
        <v>1</v>
      </c>
      <c r="F2088" s="1524">
        <v>2</v>
      </c>
      <c r="G2088" s="1537" t="s">
        <v>6046</v>
      </c>
      <c r="H2088" s="1521">
        <v>1</v>
      </c>
      <c r="I2088" s="1521">
        <v>1</v>
      </c>
      <c r="J2088" s="1538">
        <v>2</v>
      </c>
      <c r="K2088" s="1525"/>
      <c r="L2088" s="1519">
        <v>13247060202</v>
      </c>
      <c r="M2088" s="1520">
        <v>1</v>
      </c>
      <c r="N2088" s="1520">
        <v>1</v>
      </c>
      <c r="O2088" s="1521">
        <v>2</v>
      </c>
    </row>
    <row r="2089" spans="3:15" ht="13.5">
      <c r="C2089" s="1526" t="s">
        <v>6047</v>
      </c>
      <c r="D2089" s="1523">
        <v>0</v>
      </c>
      <c r="E2089" s="1523">
        <v>0</v>
      </c>
      <c r="F2089" s="1524">
        <v>0</v>
      </c>
      <c r="G2089" s="1537" t="s">
        <v>6047</v>
      </c>
      <c r="H2089" s="1521">
        <v>0</v>
      </c>
      <c r="I2089" s="1521">
        <v>0</v>
      </c>
      <c r="J2089" s="1538">
        <v>0</v>
      </c>
      <c r="K2089" s="1525"/>
      <c r="L2089" s="1519">
        <v>13247060304</v>
      </c>
      <c r="M2089" s="1520">
        <v>0</v>
      </c>
      <c r="N2089" s="1520">
        <v>0</v>
      </c>
      <c r="O2089" s="1521">
        <v>0</v>
      </c>
    </row>
    <row r="2090" spans="3:15" ht="13.5">
      <c r="C2090" s="1526" t="s">
        <v>6048</v>
      </c>
      <c r="D2090" s="1523">
        <v>0</v>
      </c>
      <c r="E2090" s="1523">
        <v>0</v>
      </c>
      <c r="F2090" s="1524">
        <v>0</v>
      </c>
      <c r="G2090" s="1537" t="s">
        <v>6048</v>
      </c>
      <c r="H2090" s="1521">
        <v>0</v>
      </c>
      <c r="I2090" s="1521">
        <v>0</v>
      </c>
      <c r="J2090" s="1538">
        <v>0</v>
      </c>
      <c r="K2090" s="1525"/>
      <c r="L2090" s="1519">
        <v>13247060305</v>
      </c>
      <c r="M2090" s="1520">
        <v>0</v>
      </c>
      <c r="N2090" s="1520">
        <v>0</v>
      </c>
      <c r="O2090" s="1521">
        <v>0</v>
      </c>
    </row>
    <row r="2091" spans="3:15" ht="13.5">
      <c r="C2091" s="1526" t="s">
        <v>6049</v>
      </c>
      <c r="D2091" s="1523">
        <v>1</v>
      </c>
      <c r="E2091" s="1523">
        <v>1</v>
      </c>
      <c r="F2091" s="1524">
        <v>2</v>
      </c>
      <c r="G2091" s="1537" t="s">
        <v>6049</v>
      </c>
      <c r="H2091" s="1521">
        <v>1</v>
      </c>
      <c r="I2091" s="1521">
        <v>1</v>
      </c>
      <c r="J2091" s="1538">
        <v>2</v>
      </c>
      <c r="K2091" s="1525"/>
      <c r="L2091" s="1519">
        <v>13247060306</v>
      </c>
      <c r="M2091" s="1520">
        <v>1</v>
      </c>
      <c r="N2091" s="1520">
        <v>1</v>
      </c>
      <c r="O2091" s="1521">
        <v>2</v>
      </c>
    </row>
    <row r="2092" spans="3:15" ht="13.5">
      <c r="C2092" s="1526" t="s">
        <v>6050</v>
      </c>
      <c r="D2092" s="1523">
        <v>0</v>
      </c>
      <c r="E2092" s="1523">
        <v>1</v>
      </c>
      <c r="F2092" s="1524">
        <v>1</v>
      </c>
      <c r="G2092" s="1537" t="s">
        <v>6050</v>
      </c>
      <c r="H2092" s="1521">
        <v>0</v>
      </c>
      <c r="I2092" s="1521">
        <v>1</v>
      </c>
      <c r="J2092" s="1538">
        <v>1</v>
      </c>
      <c r="K2092" s="1525"/>
      <c r="L2092" s="1519">
        <v>13247060307</v>
      </c>
      <c r="M2092" s="1520">
        <v>0</v>
      </c>
      <c r="N2092" s="1520">
        <v>1</v>
      </c>
      <c r="O2092" s="1521">
        <v>1</v>
      </c>
    </row>
    <row r="2093" spans="3:15" ht="13.5">
      <c r="C2093" s="1526" t="s">
        <v>6051</v>
      </c>
      <c r="D2093" s="1523">
        <v>0</v>
      </c>
      <c r="E2093" s="1523">
        <v>0</v>
      </c>
      <c r="F2093" s="1524">
        <v>0</v>
      </c>
      <c r="G2093" s="1537" t="s">
        <v>6051</v>
      </c>
      <c r="H2093" s="1521">
        <v>0</v>
      </c>
      <c r="I2093" s="1521">
        <v>0</v>
      </c>
      <c r="J2093" s="1538">
        <v>0</v>
      </c>
      <c r="K2093" s="1525"/>
      <c r="L2093" s="1519">
        <v>13247060308</v>
      </c>
      <c r="M2093" s="1520">
        <v>0</v>
      </c>
      <c r="N2093" s="1520">
        <v>0</v>
      </c>
      <c r="O2093" s="1521">
        <v>0</v>
      </c>
    </row>
    <row r="2094" spans="3:15" ht="13.5">
      <c r="C2094" s="1526" t="s">
        <v>6052</v>
      </c>
      <c r="D2094" s="1523">
        <v>0</v>
      </c>
      <c r="E2094" s="1523">
        <v>0</v>
      </c>
      <c r="F2094" s="1524">
        <v>0</v>
      </c>
      <c r="G2094" s="1537" t="s">
        <v>6052</v>
      </c>
      <c r="H2094" s="1521">
        <v>0</v>
      </c>
      <c r="I2094" s="1521">
        <v>0</v>
      </c>
      <c r="J2094" s="1538">
        <v>0</v>
      </c>
      <c r="K2094" s="1525"/>
      <c r="L2094" s="1519">
        <v>13247060309</v>
      </c>
      <c r="M2094" s="1520">
        <v>0</v>
      </c>
      <c r="N2094" s="1520">
        <v>0</v>
      </c>
      <c r="O2094" s="1521">
        <v>0</v>
      </c>
    </row>
    <row r="2095" spans="3:15" ht="13.5">
      <c r="C2095" s="1526" t="s">
        <v>6053</v>
      </c>
      <c r="D2095" s="1523">
        <v>1</v>
      </c>
      <c r="E2095" s="1523">
        <v>1</v>
      </c>
      <c r="F2095" s="1524">
        <v>2</v>
      </c>
      <c r="G2095" s="1537" t="s">
        <v>6053</v>
      </c>
      <c r="H2095" s="1521">
        <v>1</v>
      </c>
      <c r="I2095" s="1521">
        <v>0</v>
      </c>
      <c r="J2095" s="1538">
        <v>1</v>
      </c>
      <c r="K2095" s="1525"/>
      <c r="L2095" s="1519">
        <v>13247060403</v>
      </c>
      <c r="M2095" s="1520">
        <v>1</v>
      </c>
      <c r="N2095" s="1520">
        <v>1</v>
      </c>
      <c r="O2095" s="1521">
        <v>2</v>
      </c>
    </row>
    <row r="2096" spans="3:15" ht="13.5">
      <c r="C2096" s="1526" t="s">
        <v>6054</v>
      </c>
      <c r="D2096" s="1523">
        <v>1</v>
      </c>
      <c r="E2096" s="1523">
        <v>1</v>
      </c>
      <c r="F2096" s="1524">
        <v>2</v>
      </c>
      <c r="G2096" s="1537" t="s">
        <v>6054</v>
      </c>
      <c r="H2096" s="1521">
        <v>1</v>
      </c>
      <c r="I2096" s="1521">
        <v>1</v>
      </c>
      <c r="J2096" s="1538">
        <v>2</v>
      </c>
      <c r="K2096" s="1525"/>
      <c r="L2096" s="1519">
        <v>13247060404</v>
      </c>
      <c r="M2096" s="1520">
        <v>1</v>
      </c>
      <c r="N2096" s="1520">
        <v>1</v>
      </c>
      <c r="O2096" s="1521">
        <v>2</v>
      </c>
    </row>
    <row r="2097" spans="3:15" ht="13.5">
      <c r="C2097" s="1526" t="s">
        <v>6055</v>
      </c>
      <c r="D2097" s="1523">
        <v>1</v>
      </c>
      <c r="E2097" s="1523">
        <v>1</v>
      </c>
      <c r="F2097" s="1524">
        <v>2</v>
      </c>
      <c r="G2097" s="1537" t="s">
        <v>6055</v>
      </c>
      <c r="H2097" s="1521">
        <v>0</v>
      </c>
      <c r="I2097" s="1521">
        <v>1</v>
      </c>
      <c r="J2097" s="1538">
        <v>1</v>
      </c>
      <c r="K2097" s="1525"/>
      <c r="L2097" s="1519">
        <v>13247060405</v>
      </c>
      <c r="M2097" s="1520">
        <v>1</v>
      </c>
      <c r="N2097" s="1520">
        <v>1</v>
      </c>
      <c r="O2097" s="1521">
        <v>2</v>
      </c>
    </row>
    <row r="2098" spans="3:15" ht="13.5">
      <c r="C2098" s="1526" t="s">
        <v>6056</v>
      </c>
      <c r="D2098" s="1523">
        <v>1</v>
      </c>
      <c r="E2098" s="1523">
        <v>1</v>
      </c>
      <c r="F2098" s="1524">
        <v>2</v>
      </c>
      <c r="G2098" s="1537" t="s">
        <v>6056</v>
      </c>
      <c r="H2098" s="1521">
        <v>1</v>
      </c>
      <c r="I2098" s="1521">
        <v>1</v>
      </c>
      <c r="J2098" s="1538">
        <v>2</v>
      </c>
      <c r="K2098" s="1525"/>
      <c r="L2098" s="1519">
        <v>13247060406</v>
      </c>
      <c r="M2098" s="1520">
        <v>1</v>
      </c>
      <c r="N2098" s="1520">
        <v>1</v>
      </c>
      <c r="O2098" s="1521">
        <v>2</v>
      </c>
    </row>
    <row r="2099" spans="3:15" ht="13.5">
      <c r="C2099" s="1526" t="s">
        <v>6057</v>
      </c>
      <c r="D2099" s="1523">
        <v>0</v>
      </c>
      <c r="E2099" s="1523">
        <v>1</v>
      </c>
      <c r="F2099" s="1524">
        <v>1</v>
      </c>
      <c r="G2099" s="1537" t="s">
        <v>6057</v>
      </c>
      <c r="H2099" s="1521">
        <v>0</v>
      </c>
      <c r="I2099" s="1521">
        <v>1</v>
      </c>
      <c r="J2099" s="1538">
        <v>1</v>
      </c>
      <c r="K2099" s="1525"/>
      <c r="L2099" s="1519">
        <v>13247060407</v>
      </c>
      <c r="M2099" s="1520">
        <v>0</v>
      </c>
      <c r="N2099" s="1520">
        <v>1</v>
      </c>
      <c r="O2099" s="1521">
        <v>1</v>
      </c>
    </row>
    <row r="2100" spans="3:15" ht="13.5">
      <c r="C2100" s="1526" t="s">
        <v>6058</v>
      </c>
      <c r="D2100" s="1523">
        <v>0</v>
      </c>
      <c r="E2100" s="1523">
        <v>0</v>
      </c>
      <c r="F2100" s="1524">
        <v>0</v>
      </c>
      <c r="G2100" s="1537" t="s">
        <v>6058</v>
      </c>
      <c r="H2100" s="1521">
        <v>0</v>
      </c>
      <c r="I2100" s="1521">
        <v>1</v>
      </c>
      <c r="J2100" s="1538">
        <v>1</v>
      </c>
      <c r="K2100" s="1525"/>
      <c r="L2100" s="1519">
        <v>13249960100</v>
      </c>
      <c r="M2100" s="1520">
        <v>0</v>
      </c>
      <c r="N2100" s="1520">
        <v>1</v>
      </c>
      <c r="O2100" s="1521">
        <v>1</v>
      </c>
    </row>
    <row r="2101" spans="3:15" ht="13.5">
      <c r="C2101" s="1526" t="s">
        <v>6059</v>
      </c>
      <c r="D2101" s="1523">
        <v>0</v>
      </c>
      <c r="E2101" s="1523">
        <v>0</v>
      </c>
      <c r="F2101" s="1524">
        <v>0</v>
      </c>
      <c r="G2101" s="1537" t="s">
        <v>6059</v>
      </c>
      <c r="H2101" s="1521">
        <v>0</v>
      </c>
      <c r="I2101" s="1521">
        <v>0</v>
      </c>
      <c r="J2101" s="1538">
        <v>0</v>
      </c>
      <c r="K2101" s="1525"/>
      <c r="L2101" s="1519">
        <v>13249960200</v>
      </c>
      <c r="M2101" s="1520">
        <v>0</v>
      </c>
      <c r="N2101" s="1520">
        <v>0</v>
      </c>
      <c r="O2101" s="1521">
        <v>0</v>
      </c>
    </row>
    <row r="2102" spans="3:15" ht="13.5">
      <c r="C2102" s="1526" t="s">
        <v>6060</v>
      </c>
      <c r="D2102" s="1523">
        <v>0</v>
      </c>
      <c r="E2102" s="1523">
        <v>0</v>
      </c>
      <c r="F2102" s="1524">
        <v>0</v>
      </c>
      <c r="G2102" s="1537" t="s">
        <v>6060</v>
      </c>
      <c r="H2102" s="1521">
        <v>0</v>
      </c>
      <c r="I2102" s="1521">
        <v>0</v>
      </c>
      <c r="J2102" s="1538">
        <v>0</v>
      </c>
      <c r="K2102" s="1525"/>
      <c r="L2102" s="1519">
        <v>13251970200</v>
      </c>
      <c r="M2102" s="1520">
        <v>0</v>
      </c>
      <c r="N2102" s="1520">
        <v>0</v>
      </c>
      <c r="O2102" s="1521">
        <v>0</v>
      </c>
    </row>
    <row r="2103" spans="3:15" ht="13.5">
      <c r="C2103" s="1526" t="s">
        <v>6061</v>
      </c>
      <c r="D2103" s="1523">
        <v>0</v>
      </c>
      <c r="E2103" s="1523">
        <v>0</v>
      </c>
      <c r="F2103" s="1524">
        <v>0</v>
      </c>
      <c r="G2103" s="1537" t="s">
        <v>6061</v>
      </c>
      <c r="H2103" s="1521">
        <v>0</v>
      </c>
      <c r="I2103" s="1521">
        <v>0</v>
      </c>
      <c r="J2103" s="1538">
        <v>0</v>
      </c>
      <c r="K2103" s="1525"/>
      <c r="L2103" s="1519">
        <v>13251970300</v>
      </c>
      <c r="M2103" s="1520">
        <v>0</v>
      </c>
      <c r="N2103" s="1520">
        <v>0</v>
      </c>
      <c r="O2103" s="1521">
        <v>0</v>
      </c>
    </row>
    <row r="2104" spans="3:15" ht="13.5">
      <c r="C2104" s="1526" t="s">
        <v>6062</v>
      </c>
      <c r="D2104" s="1523">
        <v>0</v>
      </c>
      <c r="E2104" s="1523">
        <v>0</v>
      </c>
      <c r="F2104" s="1524">
        <v>0</v>
      </c>
      <c r="G2104" s="1537" t="s">
        <v>6062</v>
      </c>
      <c r="H2104" s="1521">
        <v>0</v>
      </c>
      <c r="I2104" s="1521">
        <v>0</v>
      </c>
      <c r="J2104" s="1538">
        <v>0</v>
      </c>
      <c r="K2104" s="1525"/>
      <c r="L2104" s="1519">
        <v>13251970400</v>
      </c>
      <c r="M2104" s="1520">
        <v>0</v>
      </c>
      <c r="N2104" s="1520">
        <v>0</v>
      </c>
      <c r="O2104" s="1521">
        <v>0</v>
      </c>
    </row>
    <row r="2105" spans="3:15" ht="13.5">
      <c r="C2105" s="1526" t="s">
        <v>6063</v>
      </c>
      <c r="D2105" s="1523">
        <v>0</v>
      </c>
      <c r="E2105" s="1523">
        <v>0</v>
      </c>
      <c r="F2105" s="1524">
        <v>0</v>
      </c>
      <c r="G2105" s="1537" t="s">
        <v>6063</v>
      </c>
      <c r="H2105" s="1521">
        <v>0</v>
      </c>
      <c r="I2105" s="1521">
        <v>0</v>
      </c>
      <c r="J2105" s="1538">
        <v>0</v>
      </c>
      <c r="K2105" s="1525"/>
      <c r="L2105" s="1519">
        <v>13251970500</v>
      </c>
      <c r="M2105" s="1520">
        <v>0</v>
      </c>
      <c r="N2105" s="1520">
        <v>0</v>
      </c>
      <c r="O2105" s="1521">
        <v>0</v>
      </c>
    </row>
    <row r="2106" spans="3:15" ht="13.5">
      <c r="C2106" s="1526" t="s">
        <v>6064</v>
      </c>
      <c r="D2106" s="1523">
        <v>0</v>
      </c>
      <c r="E2106" s="1523">
        <v>0</v>
      </c>
      <c r="F2106" s="1524">
        <v>0</v>
      </c>
      <c r="G2106" s="1537" t="s">
        <v>6064</v>
      </c>
      <c r="H2106" s="1521">
        <v>0</v>
      </c>
      <c r="I2106" s="1521">
        <v>0</v>
      </c>
      <c r="J2106" s="1538">
        <v>0</v>
      </c>
      <c r="K2106" s="1525"/>
      <c r="L2106" s="1519">
        <v>13251970600</v>
      </c>
      <c r="M2106" s="1520">
        <v>0</v>
      </c>
      <c r="N2106" s="1520">
        <v>0</v>
      </c>
      <c r="O2106" s="1521">
        <v>0</v>
      </c>
    </row>
    <row r="2107" spans="3:15" ht="13.5">
      <c r="C2107" s="1526" t="s">
        <v>6065</v>
      </c>
      <c r="D2107" s="1523">
        <v>0</v>
      </c>
      <c r="E2107" s="1523">
        <v>0</v>
      </c>
      <c r="F2107" s="1524">
        <v>0</v>
      </c>
      <c r="G2107" s="1537" t="s">
        <v>6065</v>
      </c>
      <c r="H2107" s="1521">
        <v>0</v>
      </c>
      <c r="I2107" s="1521">
        <v>0</v>
      </c>
      <c r="J2107" s="1538">
        <v>0</v>
      </c>
      <c r="K2107" s="1525"/>
      <c r="L2107" s="1519">
        <v>13253200100</v>
      </c>
      <c r="M2107" s="1520">
        <v>0</v>
      </c>
      <c r="N2107" s="1520">
        <v>0</v>
      </c>
      <c r="O2107" s="1521">
        <v>0</v>
      </c>
    </row>
    <row r="2108" spans="3:15" ht="13.5">
      <c r="C2108" s="1526" t="s">
        <v>6066</v>
      </c>
      <c r="D2108" s="1523">
        <v>0</v>
      </c>
      <c r="E2108" s="1523">
        <v>0</v>
      </c>
      <c r="F2108" s="1524">
        <v>0</v>
      </c>
      <c r="G2108" s="1537" t="s">
        <v>6066</v>
      </c>
      <c r="H2108" s="1521">
        <v>0</v>
      </c>
      <c r="I2108" s="1521">
        <v>0</v>
      </c>
      <c r="J2108" s="1538">
        <v>0</v>
      </c>
      <c r="K2108" s="1525"/>
      <c r="L2108" s="1519">
        <v>13253200200</v>
      </c>
      <c r="M2108" s="1520">
        <v>0</v>
      </c>
      <c r="N2108" s="1520">
        <v>0</v>
      </c>
      <c r="O2108" s="1521">
        <v>0</v>
      </c>
    </row>
    <row r="2109" spans="3:15" ht="13.5">
      <c r="C2109" s="1526" t="s">
        <v>6067</v>
      </c>
      <c r="D2109" s="1523">
        <v>0</v>
      </c>
      <c r="E2109" s="1523">
        <v>0</v>
      </c>
      <c r="F2109" s="1524">
        <v>0</v>
      </c>
      <c r="G2109" s="1537" t="s">
        <v>6067</v>
      </c>
      <c r="H2109" s="1521">
        <v>0</v>
      </c>
      <c r="I2109" s="1521">
        <v>0</v>
      </c>
      <c r="J2109" s="1538">
        <v>0</v>
      </c>
      <c r="K2109" s="1525"/>
      <c r="L2109" s="1519">
        <v>13253200300</v>
      </c>
      <c r="M2109" s="1520">
        <v>0</v>
      </c>
      <c r="N2109" s="1520">
        <v>0</v>
      </c>
      <c r="O2109" s="1521">
        <v>0</v>
      </c>
    </row>
    <row r="2110" spans="3:15" ht="13.5">
      <c r="C2110" s="1526" t="s">
        <v>6068</v>
      </c>
      <c r="D2110" s="1523">
        <v>0</v>
      </c>
      <c r="E2110" s="1523">
        <v>1</v>
      </c>
      <c r="F2110" s="1524">
        <v>1</v>
      </c>
      <c r="G2110" s="1537" t="s">
        <v>6068</v>
      </c>
      <c r="H2110" s="1521">
        <v>0</v>
      </c>
      <c r="I2110" s="1521">
        <v>0</v>
      </c>
      <c r="J2110" s="1538">
        <v>0</v>
      </c>
      <c r="K2110" s="1525"/>
      <c r="L2110" s="1519">
        <v>13255160100</v>
      </c>
      <c r="M2110" s="1520">
        <v>0</v>
      </c>
      <c r="N2110" s="1520">
        <v>1</v>
      </c>
      <c r="O2110" s="1521">
        <v>1</v>
      </c>
    </row>
    <row r="2111" spans="3:15" ht="13.5">
      <c r="C2111" s="1526" t="s">
        <v>6069</v>
      </c>
      <c r="D2111" s="1523">
        <v>0</v>
      </c>
      <c r="E2111" s="1523">
        <v>0</v>
      </c>
      <c r="F2111" s="1524">
        <v>0</v>
      </c>
      <c r="G2111" s="1537" t="s">
        <v>6069</v>
      </c>
      <c r="H2111" s="1521">
        <v>0</v>
      </c>
      <c r="I2111" s="1521">
        <v>0</v>
      </c>
      <c r="J2111" s="1538">
        <v>0</v>
      </c>
      <c r="K2111" s="1525"/>
      <c r="L2111" s="1519">
        <v>13255160200</v>
      </c>
      <c r="M2111" s="1520">
        <v>0</v>
      </c>
      <c r="N2111" s="1520">
        <v>0</v>
      </c>
      <c r="O2111" s="1521">
        <v>0</v>
      </c>
    </row>
    <row r="2112" spans="3:15" ht="13.5">
      <c r="C2112" s="1526" t="s">
        <v>6070</v>
      </c>
      <c r="D2112" s="1523">
        <v>0</v>
      </c>
      <c r="E2112" s="1523">
        <v>0</v>
      </c>
      <c r="F2112" s="1524">
        <v>0</v>
      </c>
      <c r="G2112" s="1537" t="s">
        <v>6070</v>
      </c>
      <c r="H2112" s="1521">
        <v>0</v>
      </c>
      <c r="I2112" s="1521">
        <v>0</v>
      </c>
      <c r="J2112" s="1538">
        <v>0</v>
      </c>
      <c r="K2112" s="1525"/>
      <c r="L2112" s="1519">
        <v>13255160300</v>
      </c>
      <c r="M2112" s="1520">
        <v>0</v>
      </c>
      <c r="N2112" s="1520">
        <v>0</v>
      </c>
      <c r="O2112" s="1521">
        <v>0</v>
      </c>
    </row>
    <row r="2113" spans="3:15" ht="13.5">
      <c r="C2113" s="1526" t="s">
        <v>6071</v>
      </c>
      <c r="D2113" s="1523">
        <v>0</v>
      </c>
      <c r="E2113" s="1523">
        <v>0</v>
      </c>
      <c r="F2113" s="1524">
        <v>0</v>
      </c>
      <c r="G2113" s="1537" t="s">
        <v>6071</v>
      </c>
      <c r="H2113" s="1521">
        <v>0</v>
      </c>
      <c r="I2113" s="1521">
        <v>0</v>
      </c>
      <c r="J2113" s="1538">
        <v>0</v>
      </c>
      <c r="K2113" s="1525"/>
      <c r="L2113" s="1519">
        <v>13255160400</v>
      </c>
      <c r="M2113" s="1520">
        <v>0</v>
      </c>
      <c r="N2113" s="1520">
        <v>0</v>
      </c>
      <c r="O2113" s="1521">
        <v>0</v>
      </c>
    </row>
    <row r="2114" spans="3:15" ht="13.5">
      <c r="C2114" s="1526" t="s">
        <v>6072</v>
      </c>
      <c r="D2114" s="1523">
        <v>0</v>
      </c>
      <c r="E2114" s="1523">
        <v>0</v>
      </c>
      <c r="F2114" s="1524">
        <v>0</v>
      </c>
      <c r="G2114" s="1537" t="s">
        <v>6072</v>
      </c>
      <c r="H2114" s="1521">
        <v>0</v>
      </c>
      <c r="I2114" s="1521">
        <v>0</v>
      </c>
      <c r="J2114" s="1538">
        <v>0</v>
      </c>
      <c r="K2114" s="1525"/>
      <c r="L2114" s="1519">
        <v>13255160500</v>
      </c>
      <c r="M2114" s="1520">
        <v>0</v>
      </c>
      <c r="N2114" s="1520">
        <v>0</v>
      </c>
      <c r="O2114" s="1521">
        <v>0</v>
      </c>
    </row>
    <row r="2115" spans="3:15" ht="13.5">
      <c r="C2115" s="1526" t="s">
        <v>6073</v>
      </c>
      <c r="D2115" s="1523">
        <v>1</v>
      </c>
      <c r="E2115" s="1523">
        <v>1</v>
      </c>
      <c r="F2115" s="1524">
        <v>2</v>
      </c>
      <c r="G2115" s="1537" t="s">
        <v>6073</v>
      </c>
      <c r="H2115" s="1521">
        <v>0</v>
      </c>
      <c r="I2115" s="1521">
        <v>0</v>
      </c>
      <c r="J2115" s="1538">
        <v>0</v>
      </c>
      <c r="K2115" s="1525"/>
      <c r="L2115" s="1519">
        <v>13255160600</v>
      </c>
      <c r="M2115" s="1520">
        <v>1</v>
      </c>
      <c r="N2115" s="1520">
        <v>1</v>
      </c>
      <c r="O2115" s="1521">
        <v>2</v>
      </c>
    </row>
    <row r="2116" spans="3:15" ht="13.5">
      <c r="C2116" s="1526" t="s">
        <v>6074</v>
      </c>
      <c r="D2116" s="1523">
        <v>0</v>
      </c>
      <c r="E2116" s="1523">
        <v>0</v>
      </c>
      <c r="F2116" s="1524">
        <v>0</v>
      </c>
      <c r="G2116" s="1537" t="s">
        <v>6074</v>
      </c>
      <c r="H2116" s="1521">
        <v>0</v>
      </c>
      <c r="I2116" s="1521">
        <v>0</v>
      </c>
      <c r="J2116" s="1538">
        <v>0</v>
      </c>
      <c r="K2116" s="1525"/>
      <c r="L2116" s="1519">
        <v>13255160700</v>
      </c>
      <c r="M2116" s="1520">
        <v>0</v>
      </c>
      <c r="N2116" s="1520">
        <v>0</v>
      </c>
      <c r="O2116" s="1521">
        <v>0</v>
      </c>
    </row>
    <row r="2117" spans="3:15" ht="13.5">
      <c r="C2117" s="1526" t="s">
        <v>6075</v>
      </c>
      <c r="D2117" s="1523">
        <v>0</v>
      </c>
      <c r="E2117" s="1523">
        <v>0</v>
      </c>
      <c r="F2117" s="1524">
        <v>0</v>
      </c>
      <c r="G2117" s="1537" t="s">
        <v>6075</v>
      </c>
      <c r="H2117" s="1521">
        <v>0</v>
      </c>
      <c r="I2117" s="1521">
        <v>0</v>
      </c>
      <c r="J2117" s="1538">
        <v>0</v>
      </c>
      <c r="K2117" s="1525"/>
      <c r="L2117" s="1519">
        <v>13255160800</v>
      </c>
      <c r="M2117" s="1520">
        <v>0</v>
      </c>
      <c r="N2117" s="1520">
        <v>0</v>
      </c>
      <c r="O2117" s="1521">
        <v>0</v>
      </c>
    </row>
    <row r="2118" spans="3:15" ht="13.5">
      <c r="C2118" s="1526" t="s">
        <v>6076</v>
      </c>
      <c r="D2118" s="1523">
        <v>0</v>
      </c>
      <c r="E2118" s="1523">
        <v>0</v>
      </c>
      <c r="F2118" s="1524">
        <v>0</v>
      </c>
      <c r="G2118" s="1537" t="s">
        <v>6076</v>
      </c>
      <c r="H2118" s="1521">
        <v>0</v>
      </c>
      <c r="I2118" s="1521">
        <v>0</v>
      </c>
      <c r="J2118" s="1538">
        <v>0</v>
      </c>
      <c r="K2118" s="1525"/>
      <c r="L2118" s="1519">
        <v>13255160900</v>
      </c>
      <c r="M2118" s="1520">
        <v>0</v>
      </c>
      <c r="N2118" s="1520">
        <v>0</v>
      </c>
      <c r="O2118" s="1521">
        <v>0</v>
      </c>
    </row>
    <row r="2119" spans="3:15" ht="13.5">
      <c r="C2119" s="1526" t="s">
        <v>6077</v>
      </c>
      <c r="D2119" s="1523">
        <v>0</v>
      </c>
      <c r="E2119" s="1523">
        <v>1</v>
      </c>
      <c r="F2119" s="1524">
        <v>1</v>
      </c>
      <c r="G2119" s="1537" t="s">
        <v>6077</v>
      </c>
      <c r="H2119" s="1521">
        <v>0</v>
      </c>
      <c r="I2119" s="1521">
        <v>0</v>
      </c>
      <c r="J2119" s="1538">
        <v>0</v>
      </c>
      <c r="K2119" s="1525"/>
      <c r="L2119" s="1519">
        <v>13255161000</v>
      </c>
      <c r="M2119" s="1520">
        <v>0</v>
      </c>
      <c r="N2119" s="1520">
        <v>1</v>
      </c>
      <c r="O2119" s="1521">
        <v>1</v>
      </c>
    </row>
    <row r="2120" spans="3:15" ht="13.5">
      <c r="C2120" s="1526" t="s">
        <v>6078</v>
      </c>
      <c r="D2120" s="1523">
        <v>1</v>
      </c>
      <c r="E2120" s="1523">
        <v>1</v>
      </c>
      <c r="F2120" s="1524">
        <v>2</v>
      </c>
      <c r="G2120" s="1537" t="s">
        <v>6078</v>
      </c>
      <c r="H2120" s="1521">
        <v>1</v>
      </c>
      <c r="I2120" s="1521">
        <v>1</v>
      </c>
      <c r="J2120" s="1538">
        <v>2</v>
      </c>
      <c r="K2120" s="1525"/>
      <c r="L2120" s="1519">
        <v>13255161100</v>
      </c>
      <c r="M2120" s="1520">
        <v>1</v>
      </c>
      <c r="N2120" s="1520">
        <v>1</v>
      </c>
      <c r="O2120" s="1521">
        <v>2</v>
      </c>
    </row>
    <row r="2121" spans="3:15" ht="13.5">
      <c r="C2121" s="1526" t="s">
        <v>6079</v>
      </c>
      <c r="D2121" s="1523">
        <v>0</v>
      </c>
      <c r="E2121" s="1523">
        <v>0</v>
      </c>
      <c r="F2121" s="1524">
        <v>0</v>
      </c>
      <c r="G2121" s="1537" t="s">
        <v>6079</v>
      </c>
      <c r="H2121" s="1521">
        <v>0</v>
      </c>
      <c r="I2121" s="1521">
        <v>1</v>
      </c>
      <c r="J2121" s="1538">
        <v>1</v>
      </c>
      <c r="K2121" s="1525"/>
      <c r="L2121" s="1519">
        <v>13255161200</v>
      </c>
      <c r="M2121" s="1520">
        <v>0</v>
      </c>
      <c r="N2121" s="1520">
        <v>1</v>
      </c>
      <c r="O2121" s="1521">
        <v>1</v>
      </c>
    </row>
    <row r="2122" spans="3:15" ht="13.5">
      <c r="C2122" s="1526" t="s">
        <v>6080</v>
      </c>
      <c r="D2122" s="1523">
        <v>0</v>
      </c>
      <c r="E2122" s="1523">
        <v>0</v>
      </c>
      <c r="F2122" s="1524">
        <v>0</v>
      </c>
      <c r="G2122" s="1537" t="s">
        <v>6080</v>
      </c>
      <c r="H2122" s="1521">
        <v>0</v>
      </c>
      <c r="I2122" s="1521">
        <v>0</v>
      </c>
      <c r="J2122" s="1538">
        <v>0</v>
      </c>
      <c r="K2122" s="1525"/>
      <c r="L2122" s="1519">
        <v>13257970100</v>
      </c>
      <c r="M2122" s="1520">
        <v>0</v>
      </c>
      <c r="N2122" s="1520">
        <v>0</v>
      </c>
      <c r="O2122" s="1521">
        <v>0</v>
      </c>
    </row>
    <row r="2123" spans="3:15" ht="13.5">
      <c r="C2123" s="1526" t="s">
        <v>6081</v>
      </c>
      <c r="D2123" s="1523">
        <v>0</v>
      </c>
      <c r="E2123" s="1523">
        <v>0</v>
      </c>
      <c r="F2123" s="1524">
        <v>0</v>
      </c>
      <c r="G2123" s="1537" t="s">
        <v>6081</v>
      </c>
      <c r="H2123" s="1521">
        <v>0</v>
      </c>
      <c r="I2123" s="1521">
        <v>0</v>
      </c>
      <c r="J2123" s="1538">
        <v>0</v>
      </c>
      <c r="K2123" s="1525"/>
      <c r="L2123" s="1519">
        <v>13257970200</v>
      </c>
      <c r="M2123" s="1520">
        <v>0</v>
      </c>
      <c r="N2123" s="1520">
        <v>0</v>
      </c>
      <c r="O2123" s="1521">
        <v>0</v>
      </c>
    </row>
    <row r="2124" spans="3:15" ht="13.5">
      <c r="C2124" s="1526" t="s">
        <v>6082</v>
      </c>
      <c r="D2124" s="1523">
        <v>0</v>
      </c>
      <c r="E2124" s="1523">
        <v>0</v>
      </c>
      <c r="F2124" s="1524">
        <v>0</v>
      </c>
      <c r="G2124" s="1537" t="s">
        <v>6082</v>
      </c>
      <c r="H2124" s="1521">
        <v>0</v>
      </c>
      <c r="I2124" s="1521">
        <v>0</v>
      </c>
      <c r="J2124" s="1538">
        <v>0</v>
      </c>
      <c r="K2124" s="1525"/>
      <c r="L2124" s="1519">
        <v>13257970301</v>
      </c>
      <c r="M2124" s="1520">
        <v>0</v>
      </c>
      <c r="N2124" s="1520">
        <v>0</v>
      </c>
      <c r="O2124" s="1521">
        <v>0</v>
      </c>
    </row>
    <row r="2125" spans="3:15" ht="13.5">
      <c r="C2125" s="1526" t="s">
        <v>6083</v>
      </c>
      <c r="D2125" s="1523">
        <v>0</v>
      </c>
      <c r="E2125" s="1523">
        <v>0</v>
      </c>
      <c r="F2125" s="1524">
        <v>0</v>
      </c>
      <c r="G2125" s="1537" t="s">
        <v>6083</v>
      </c>
      <c r="H2125" s="1521">
        <v>0</v>
      </c>
      <c r="I2125" s="1521">
        <v>0</v>
      </c>
      <c r="J2125" s="1538">
        <v>0</v>
      </c>
      <c r="K2125" s="1525"/>
      <c r="L2125" s="1519">
        <v>13257970302</v>
      </c>
      <c r="M2125" s="1520">
        <v>0</v>
      </c>
      <c r="N2125" s="1520">
        <v>0</v>
      </c>
      <c r="O2125" s="1521">
        <v>0</v>
      </c>
    </row>
    <row r="2126" spans="3:15" ht="13.5">
      <c r="C2126" s="1526" t="s">
        <v>6084</v>
      </c>
      <c r="D2126" s="1523">
        <v>0</v>
      </c>
      <c r="E2126" s="1523">
        <v>0</v>
      </c>
      <c r="F2126" s="1524">
        <v>0</v>
      </c>
      <c r="G2126" s="1537" t="s">
        <v>6084</v>
      </c>
      <c r="H2126" s="1521">
        <v>0</v>
      </c>
      <c r="I2126" s="1521">
        <v>0</v>
      </c>
      <c r="J2126" s="1538">
        <v>0</v>
      </c>
      <c r="K2126" s="1525"/>
      <c r="L2126" s="1519">
        <v>13257970400</v>
      </c>
      <c r="M2126" s="1520">
        <v>0</v>
      </c>
      <c r="N2126" s="1520">
        <v>0</v>
      </c>
      <c r="O2126" s="1521">
        <v>0</v>
      </c>
    </row>
    <row r="2127" spans="3:15" ht="13.5">
      <c r="C2127" s="1526" t="s">
        <v>6085</v>
      </c>
      <c r="D2127" s="1523">
        <v>0</v>
      </c>
      <c r="E2127" s="1523">
        <v>0</v>
      </c>
      <c r="F2127" s="1524">
        <v>0</v>
      </c>
      <c r="G2127" s="1537" t="s">
        <v>6085</v>
      </c>
      <c r="H2127" s="1521">
        <v>0</v>
      </c>
      <c r="I2127" s="1521">
        <v>0</v>
      </c>
      <c r="J2127" s="1538">
        <v>0</v>
      </c>
      <c r="K2127" s="1525"/>
      <c r="L2127" s="1519">
        <v>13259950100</v>
      </c>
      <c r="M2127" s="1520">
        <v>0</v>
      </c>
      <c r="N2127" s="1520">
        <v>0</v>
      </c>
      <c r="O2127" s="1521">
        <v>0</v>
      </c>
    </row>
    <row r="2128" spans="3:15" ht="13.5">
      <c r="C2128" s="1526" t="s">
        <v>6086</v>
      </c>
      <c r="D2128" s="1523">
        <v>0</v>
      </c>
      <c r="E2128" s="1523">
        <v>0</v>
      </c>
      <c r="F2128" s="1524">
        <v>0</v>
      </c>
      <c r="G2128" s="1537" t="s">
        <v>6086</v>
      </c>
      <c r="H2128" s="1521">
        <v>0</v>
      </c>
      <c r="I2128" s="1521">
        <v>0</v>
      </c>
      <c r="J2128" s="1538">
        <v>0</v>
      </c>
      <c r="K2128" s="1525"/>
      <c r="L2128" s="1519">
        <v>13259950400</v>
      </c>
      <c r="M2128" s="1520">
        <v>0</v>
      </c>
      <c r="N2128" s="1520">
        <v>0</v>
      </c>
      <c r="O2128" s="1521">
        <v>0</v>
      </c>
    </row>
    <row r="2129" spans="3:15" ht="13.5">
      <c r="C2129" s="1526" t="s">
        <v>6087</v>
      </c>
      <c r="D2129" s="1523">
        <v>0</v>
      </c>
      <c r="E2129" s="1523">
        <v>0</v>
      </c>
      <c r="F2129" s="1524">
        <v>0</v>
      </c>
      <c r="G2129" s="1537" t="s">
        <v>6087</v>
      </c>
      <c r="H2129" s="1521">
        <v>0</v>
      </c>
      <c r="I2129" s="1521">
        <v>0</v>
      </c>
      <c r="J2129" s="1538">
        <v>0</v>
      </c>
      <c r="K2129" s="1525"/>
      <c r="L2129" s="1519">
        <v>13261950100</v>
      </c>
      <c r="M2129" s="1520">
        <v>0</v>
      </c>
      <c r="N2129" s="1520">
        <v>0</v>
      </c>
      <c r="O2129" s="1521">
        <v>0</v>
      </c>
    </row>
    <row r="2130" spans="3:15" ht="13.5">
      <c r="C2130" s="1526" t="s">
        <v>6088</v>
      </c>
      <c r="D2130" s="1523">
        <v>0</v>
      </c>
      <c r="E2130" s="1523">
        <v>0</v>
      </c>
      <c r="F2130" s="1524">
        <v>0</v>
      </c>
      <c r="G2130" s="1537" t="s">
        <v>6088</v>
      </c>
      <c r="H2130" s="1521">
        <v>0</v>
      </c>
      <c r="I2130" s="1521">
        <v>0</v>
      </c>
      <c r="J2130" s="1538">
        <v>0</v>
      </c>
      <c r="K2130" s="1525"/>
      <c r="L2130" s="1519">
        <v>13261950200</v>
      </c>
      <c r="M2130" s="1520">
        <v>0</v>
      </c>
      <c r="N2130" s="1520">
        <v>0</v>
      </c>
      <c r="O2130" s="1521">
        <v>0</v>
      </c>
    </row>
    <row r="2131" spans="3:15" ht="13.5">
      <c r="C2131" s="1526" t="s">
        <v>6089</v>
      </c>
      <c r="D2131" s="1523">
        <v>0</v>
      </c>
      <c r="E2131" s="1523">
        <v>0</v>
      </c>
      <c r="F2131" s="1524">
        <v>0</v>
      </c>
      <c r="G2131" s="1537" t="s">
        <v>6089</v>
      </c>
      <c r="H2131" s="1521">
        <v>0</v>
      </c>
      <c r="I2131" s="1521">
        <v>1</v>
      </c>
      <c r="J2131" s="1538">
        <v>1</v>
      </c>
      <c r="K2131" s="1525"/>
      <c r="L2131" s="1519">
        <v>13261950300</v>
      </c>
      <c r="M2131" s="1520">
        <v>0</v>
      </c>
      <c r="N2131" s="1520">
        <v>1</v>
      </c>
      <c r="O2131" s="1521">
        <v>1</v>
      </c>
    </row>
    <row r="2132" spans="3:15" ht="13.5">
      <c r="C2132" s="1526" t="s">
        <v>6090</v>
      </c>
      <c r="D2132" s="1523">
        <v>0</v>
      </c>
      <c r="E2132" s="1523">
        <v>0</v>
      </c>
      <c r="F2132" s="1524">
        <v>0</v>
      </c>
      <c r="G2132" s="1537" t="s">
        <v>6090</v>
      </c>
      <c r="H2132" s="1521">
        <v>0</v>
      </c>
      <c r="I2132" s="1521">
        <v>0</v>
      </c>
      <c r="J2132" s="1538">
        <v>0</v>
      </c>
      <c r="K2132" s="1525"/>
      <c r="L2132" s="1519">
        <v>13261950400</v>
      </c>
      <c r="M2132" s="1520">
        <v>0</v>
      </c>
      <c r="N2132" s="1520">
        <v>0</v>
      </c>
      <c r="O2132" s="1521">
        <v>0</v>
      </c>
    </row>
    <row r="2133" spans="3:15" ht="13.5">
      <c r="C2133" s="1526" t="s">
        <v>6091</v>
      </c>
      <c r="D2133" s="1523">
        <v>0</v>
      </c>
      <c r="E2133" s="1523">
        <v>0</v>
      </c>
      <c r="F2133" s="1524">
        <v>0</v>
      </c>
      <c r="G2133" s="1537" t="s">
        <v>6091</v>
      </c>
      <c r="H2133" s="1521">
        <v>0</v>
      </c>
      <c r="I2133" s="1521">
        <v>0</v>
      </c>
      <c r="J2133" s="1538">
        <v>0</v>
      </c>
      <c r="K2133" s="1525"/>
      <c r="L2133" s="1519">
        <v>13261950500</v>
      </c>
      <c r="M2133" s="1520">
        <v>0</v>
      </c>
      <c r="N2133" s="1520">
        <v>0</v>
      </c>
      <c r="O2133" s="1521">
        <v>0</v>
      </c>
    </row>
    <row r="2134" spans="3:15" ht="13.5">
      <c r="C2134" s="1526" t="s">
        <v>6092</v>
      </c>
      <c r="D2134" s="1523">
        <v>0</v>
      </c>
      <c r="E2134" s="1523">
        <v>0</v>
      </c>
      <c r="F2134" s="1524">
        <v>0</v>
      </c>
      <c r="G2134" s="1537" t="s">
        <v>6092</v>
      </c>
      <c r="H2134" s="1521">
        <v>0</v>
      </c>
      <c r="I2134" s="1521">
        <v>0</v>
      </c>
      <c r="J2134" s="1538">
        <v>0</v>
      </c>
      <c r="K2134" s="1525"/>
      <c r="L2134" s="1519">
        <v>13261950600</v>
      </c>
      <c r="M2134" s="1520">
        <v>0</v>
      </c>
      <c r="N2134" s="1520">
        <v>0</v>
      </c>
      <c r="O2134" s="1521">
        <v>0</v>
      </c>
    </row>
    <row r="2135" spans="3:15" ht="13.5">
      <c r="C2135" s="1526" t="s">
        <v>6093</v>
      </c>
      <c r="D2135" s="1523">
        <v>0</v>
      </c>
      <c r="E2135" s="1523">
        <v>0</v>
      </c>
      <c r="F2135" s="1524">
        <v>0</v>
      </c>
      <c r="G2135" s="1537" t="s">
        <v>6093</v>
      </c>
      <c r="H2135" s="1521">
        <v>0</v>
      </c>
      <c r="I2135" s="1521">
        <v>1</v>
      </c>
      <c r="J2135" s="1538">
        <v>1</v>
      </c>
      <c r="K2135" s="1525"/>
      <c r="L2135" s="1519">
        <v>13261950700</v>
      </c>
      <c r="M2135" s="1520">
        <v>0</v>
      </c>
      <c r="N2135" s="1520">
        <v>1</v>
      </c>
      <c r="O2135" s="1521">
        <v>1</v>
      </c>
    </row>
    <row r="2136" spans="3:15" ht="13.5">
      <c r="C2136" s="1526" t="s">
        <v>6094</v>
      </c>
      <c r="D2136" s="1523">
        <v>0</v>
      </c>
      <c r="E2136" s="1523">
        <v>0</v>
      </c>
      <c r="F2136" s="1524">
        <v>0</v>
      </c>
      <c r="G2136" s="1537" t="s">
        <v>6094</v>
      </c>
      <c r="H2136" s="1521">
        <v>0</v>
      </c>
      <c r="I2136" s="1521">
        <v>1</v>
      </c>
      <c r="J2136" s="1538">
        <v>1</v>
      </c>
      <c r="K2136" s="1525"/>
      <c r="L2136" s="1519">
        <v>13261950800</v>
      </c>
      <c r="M2136" s="1520">
        <v>0</v>
      </c>
      <c r="N2136" s="1520">
        <v>1</v>
      </c>
      <c r="O2136" s="1521">
        <v>1</v>
      </c>
    </row>
    <row r="2137" spans="3:15" ht="13.5">
      <c r="C2137" s="1526" t="s">
        <v>6095</v>
      </c>
      <c r="D2137" s="1523">
        <v>1</v>
      </c>
      <c r="E2137" s="1523">
        <v>0</v>
      </c>
      <c r="F2137" s="1524">
        <v>1</v>
      </c>
      <c r="G2137" s="1537" t="s">
        <v>6095</v>
      </c>
      <c r="H2137" s="1521">
        <v>0</v>
      </c>
      <c r="I2137" s="1521" t="s">
        <v>4096</v>
      </c>
      <c r="J2137" s="1538">
        <v>0</v>
      </c>
      <c r="K2137" s="1525"/>
      <c r="L2137" s="1519">
        <v>13263960100</v>
      </c>
      <c r="M2137" s="1520">
        <v>1</v>
      </c>
      <c r="N2137" s="1520">
        <v>0</v>
      </c>
      <c r="O2137" s="1521">
        <v>1</v>
      </c>
    </row>
    <row r="2138" spans="3:15" ht="13.5">
      <c r="C2138" s="1526" t="s">
        <v>6096</v>
      </c>
      <c r="D2138" s="1523">
        <v>0</v>
      </c>
      <c r="E2138" s="1523">
        <v>0</v>
      </c>
      <c r="F2138" s="1524">
        <v>0</v>
      </c>
      <c r="G2138" s="1537" t="s">
        <v>6096</v>
      </c>
      <c r="H2138" s="1521">
        <v>0</v>
      </c>
      <c r="I2138" s="1521">
        <v>0</v>
      </c>
      <c r="J2138" s="1538">
        <v>0</v>
      </c>
      <c r="K2138" s="1525"/>
      <c r="L2138" s="1519">
        <v>13263960200</v>
      </c>
      <c r="M2138" s="1520">
        <v>0</v>
      </c>
      <c r="N2138" s="1520">
        <v>0</v>
      </c>
      <c r="O2138" s="1521">
        <v>0</v>
      </c>
    </row>
    <row r="2139" spans="3:15" ht="13.5">
      <c r="C2139" s="1526" t="s">
        <v>6097</v>
      </c>
      <c r="D2139" s="1523">
        <v>0</v>
      </c>
      <c r="E2139" s="1523">
        <v>0</v>
      </c>
      <c r="F2139" s="1524">
        <v>0</v>
      </c>
      <c r="G2139" s="1537" t="s">
        <v>6097</v>
      </c>
      <c r="H2139" s="1521">
        <v>0</v>
      </c>
      <c r="I2139" s="1521">
        <v>0</v>
      </c>
      <c r="J2139" s="1538">
        <v>0</v>
      </c>
      <c r="K2139" s="1525"/>
      <c r="L2139" s="1519">
        <v>13263960300</v>
      </c>
      <c r="M2139" s="1520">
        <v>0</v>
      </c>
      <c r="N2139" s="1520">
        <v>0</v>
      </c>
      <c r="O2139" s="1521">
        <v>0</v>
      </c>
    </row>
    <row r="2140" spans="3:15" ht="13.5">
      <c r="C2140" s="1526" t="s">
        <v>6098</v>
      </c>
      <c r="D2140" s="1523">
        <v>0</v>
      </c>
      <c r="E2140" s="1523">
        <v>0</v>
      </c>
      <c r="F2140" s="1524">
        <v>0</v>
      </c>
      <c r="G2140" s="1537" t="s">
        <v>6098</v>
      </c>
      <c r="H2140" s="1521">
        <v>0</v>
      </c>
      <c r="I2140" s="1521">
        <v>0</v>
      </c>
      <c r="J2140" s="1538">
        <v>0</v>
      </c>
      <c r="K2140" s="1525"/>
      <c r="L2140" s="1519">
        <v>13265010200</v>
      </c>
      <c r="M2140" s="1520">
        <v>0</v>
      </c>
      <c r="N2140" s="1520">
        <v>0</v>
      </c>
      <c r="O2140" s="1521">
        <v>0</v>
      </c>
    </row>
    <row r="2141" spans="3:15" ht="13.5">
      <c r="C2141" s="1526" t="s">
        <v>6099</v>
      </c>
      <c r="D2141" s="1523">
        <v>0</v>
      </c>
      <c r="E2141" s="1523">
        <v>0</v>
      </c>
      <c r="F2141" s="1524">
        <v>0</v>
      </c>
      <c r="G2141" s="1537" t="s">
        <v>6099</v>
      </c>
      <c r="H2141" s="1521">
        <v>0</v>
      </c>
      <c r="I2141" s="1521">
        <v>0</v>
      </c>
      <c r="J2141" s="1538">
        <v>0</v>
      </c>
      <c r="K2141" s="1525"/>
      <c r="L2141" s="1519">
        <v>13267950100</v>
      </c>
      <c r="M2141" s="1520">
        <v>0</v>
      </c>
      <c r="N2141" s="1520">
        <v>0</v>
      </c>
      <c r="O2141" s="1521">
        <v>0</v>
      </c>
    </row>
    <row r="2142" spans="3:15" ht="13.5">
      <c r="C2142" s="1526" t="s">
        <v>6100</v>
      </c>
      <c r="D2142" s="1523">
        <v>0</v>
      </c>
      <c r="E2142" s="1523">
        <v>0</v>
      </c>
      <c r="F2142" s="1524">
        <v>0</v>
      </c>
      <c r="G2142" s="1537" t="s">
        <v>6100</v>
      </c>
      <c r="H2142" s="1521">
        <v>0</v>
      </c>
      <c r="I2142" s="1521">
        <v>0</v>
      </c>
      <c r="J2142" s="1538">
        <v>0</v>
      </c>
      <c r="K2142" s="1525"/>
      <c r="L2142" s="1519">
        <v>13267950201</v>
      </c>
      <c r="M2142" s="1520">
        <v>0</v>
      </c>
      <c r="N2142" s="1520">
        <v>0</v>
      </c>
      <c r="O2142" s="1521">
        <v>0</v>
      </c>
    </row>
    <row r="2143" spans="3:15" ht="13.5">
      <c r="C2143" s="1526" t="s">
        <v>6101</v>
      </c>
      <c r="D2143" s="1523">
        <v>0</v>
      </c>
      <c r="E2143" s="1523">
        <v>0</v>
      </c>
      <c r="F2143" s="1524">
        <v>0</v>
      </c>
      <c r="G2143" s="1537" t="s">
        <v>6101</v>
      </c>
      <c r="H2143" s="1521">
        <v>0</v>
      </c>
      <c r="I2143" s="1521">
        <v>0</v>
      </c>
      <c r="J2143" s="1538">
        <v>0</v>
      </c>
      <c r="K2143" s="1525"/>
      <c r="L2143" s="1519">
        <v>13267950202</v>
      </c>
      <c r="M2143" s="1520">
        <v>0</v>
      </c>
      <c r="N2143" s="1520">
        <v>0</v>
      </c>
      <c r="O2143" s="1521">
        <v>0</v>
      </c>
    </row>
    <row r="2144" spans="3:15" ht="13.5">
      <c r="C2144" s="1526" t="s">
        <v>6102</v>
      </c>
      <c r="D2144" s="1523">
        <v>0</v>
      </c>
      <c r="E2144" s="1523">
        <v>0</v>
      </c>
      <c r="F2144" s="1524">
        <v>0</v>
      </c>
      <c r="G2144" s="1537" t="s">
        <v>6102</v>
      </c>
      <c r="H2144" s="1521">
        <v>0</v>
      </c>
      <c r="I2144" s="1521">
        <v>0</v>
      </c>
      <c r="J2144" s="1538">
        <v>0</v>
      </c>
      <c r="K2144" s="1525"/>
      <c r="L2144" s="1519">
        <v>13267950300</v>
      </c>
      <c r="M2144" s="1520">
        <v>0</v>
      </c>
      <c r="N2144" s="1520">
        <v>0</v>
      </c>
      <c r="O2144" s="1521">
        <v>0</v>
      </c>
    </row>
    <row r="2145" spans="3:15" ht="13.5">
      <c r="C2145" s="1526" t="s">
        <v>6103</v>
      </c>
      <c r="D2145" s="1523">
        <v>0</v>
      </c>
      <c r="E2145" s="1523">
        <v>0</v>
      </c>
      <c r="F2145" s="1524">
        <v>0</v>
      </c>
      <c r="G2145" s="1537" t="s">
        <v>6103</v>
      </c>
      <c r="H2145" s="1521">
        <v>0</v>
      </c>
      <c r="I2145" s="1521">
        <v>0</v>
      </c>
      <c r="J2145" s="1538">
        <v>0</v>
      </c>
      <c r="K2145" s="1525"/>
      <c r="L2145" s="1519">
        <v>13267950400</v>
      </c>
      <c r="M2145" s="1520">
        <v>0</v>
      </c>
      <c r="N2145" s="1520">
        <v>0</v>
      </c>
      <c r="O2145" s="1521">
        <v>0</v>
      </c>
    </row>
    <row r="2146" spans="3:15" ht="13.5">
      <c r="C2146" s="1526" t="s">
        <v>6104</v>
      </c>
      <c r="D2146" s="1523">
        <v>0</v>
      </c>
      <c r="E2146" s="1523">
        <v>0</v>
      </c>
      <c r="F2146" s="1524">
        <v>0</v>
      </c>
      <c r="G2146" s="1537" t="s">
        <v>6104</v>
      </c>
      <c r="H2146" s="1521">
        <v>0</v>
      </c>
      <c r="I2146" s="1521">
        <v>0</v>
      </c>
      <c r="J2146" s="1538">
        <v>0</v>
      </c>
      <c r="K2146" s="1525"/>
      <c r="L2146" s="1519">
        <v>13269950100</v>
      </c>
      <c r="M2146" s="1520">
        <v>0</v>
      </c>
      <c r="N2146" s="1520">
        <v>0</v>
      </c>
      <c r="O2146" s="1521">
        <v>0</v>
      </c>
    </row>
    <row r="2147" spans="3:15" ht="13.5">
      <c r="C2147" s="1526" t="s">
        <v>6105</v>
      </c>
      <c r="D2147" s="1523">
        <v>0</v>
      </c>
      <c r="E2147" s="1523">
        <v>0</v>
      </c>
      <c r="F2147" s="1524">
        <v>0</v>
      </c>
      <c r="G2147" s="1537" t="s">
        <v>6105</v>
      </c>
      <c r="H2147" s="1521">
        <v>0</v>
      </c>
      <c r="I2147" s="1521">
        <v>0</v>
      </c>
      <c r="J2147" s="1538">
        <v>0</v>
      </c>
      <c r="K2147" s="1525"/>
      <c r="L2147" s="1519">
        <v>13269950200</v>
      </c>
      <c r="M2147" s="1520">
        <v>0</v>
      </c>
      <c r="N2147" s="1520">
        <v>0</v>
      </c>
      <c r="O2147" s="1521">
        <v>0</v>
      </c>
    </row>
    <row r="2148" spans="3:15" ht="13.5">
      <c r="C2148" s="1526" t="s">
        <v>6106</v>
      </c>
      <c r="D2148" s="1523">
        <v>0</v>
      </c>
      <c r="E2148" s="1523">
        <v>0</v>
      </c>
      <c r="F2148" s="1524">
        <v>0</v>
      </c>
      <c r="G2148" s="1537" t="s">
        <v>6106</v>
      </c>
      <c r="H2148" s="1521">
        <v>0</v>
      </c>
      <c r="I2148" s="1521">
        <v>0</v>
      </c>
      <c r="J2148" s="1538">
        <v>0</v>
      </c>
      <c r="K2148" s="1525"/>
      <c r="L2148" s="1519">
        <v>13269950300</v>
      </c>
      <c r="M2148" s="1520">
        <v>0</v>
      </c>
      <c r="N2148" s="1520">
        <v>0</v>
      </c>
      <c r="O2148" s="1521">
        <v>0</v>
      </c>
    </row>
    <row r="2149" spans="3:15" ht="13.5">
      <c r="C2149" s="1526" t="s">
        <v>6107</v>
      </c>
      <c r="D2149" s="1523">
        <v>0</v>
      </c>
      <c r="E2149" s="1523">
        <v>0</v>
      </c>
      <c r="F2149" s="1524">
        <v>0</v>
      </c>
      <c r="G2149" s="1537" t="s">
        <v>6107</v>
      </c>
      <c r="H2149" s="1521">
        <v>0</v>
      </c>
      <c r="I2149" s="1521">
        <v>1</v>
      </c>
      <c r="J2149" s="1538">
        <v>1</v>
      </c>
      <c r="K2149" s="1525"/>
      <c r="L2149" s="1519">
        <v>13271950100</v>
      </c>
      <c r="M2149" s="1520">
        <v>0</v>
      </c>
      <c r="N2149" s="1520">
        <v>1</v>
      </c>
      <c r="O2149" s="1521">
        <v>1</v>
      </c>
    </row>
    <row r="2150" spans="3:15" ht="13.5">
      <c r="C2150" s="1526" t="s">
        <v>6108</v>
      </c>
      <c r="D2150" s="1523">
        <v>0</v>
      </c>
      <c r="E2150" s="1523">
        <v>0</v>
      </c>
      <c r="F2150" s="1524">
        <v>0</v>
      </c>
      <c r="G2150" s="1537" t="s">
        <v>6108</v>
      </c>
      <c r="H2150" s="1521">
        <v>0</v>
      </c>
      <c r="I2150" s="1521">
        <v>1</v>
      </c>
      <c r="J2150" s="1538">
        <v>1</v>
      </c>
      <c r="K2150" s="1525"/>
      <c r="L2150" s="1519">
        <v>13271950200</v>
      </c>
      <c r="M2150" s="1520">
        <v>0</v>
      </c>
      <c r="N2150" s="1520">
        <v>1</v>
      </c>
      <c r="O2150" s="1521">
        <v>1</v>
      </c>
    </row>
    <row r="2151" spans="3:15" ht="13.5">
      <c r="C2151" s="1526" t="s">
        <v>6109</v>
      </c>
      <c r="D2151" s="1523">
        <v>0</v>
      </c>
      <c r="E2151" s="1523">
        <v>0</v>
      </c>
      <c r="F2151" s="1524">
        <v>0</v>
      </c>
      <c r="G2151" s="1537" t="s">
        <v>6109</v>
      </c>
      <c r="H2151" s="1521">
        <v>0</v>
      </c>
      <c r="I2151" s="1521">
        <v>0</v>
      </c>
      <c r="J2151" s="1538">
        <v>0</v>
      </c>
      <c r="K2151" s="1525"/>
      <c r="L2151" s="1519">
        <v>13271950500</v>
      </c>
      <c r="M2151" s="1520">
        <v>0</v>
      </c>
      <c r="N2151" s="1520">
        <v>0</v>
      </c>
      <c r="O2151" s="1521">
        <v>0</v>
      </c>
    </row>
    <row r="2152" spans="3:15" ht="13.5">
      <c r="C2152" s="1526" t="s">
        <v>6110</v>
      </c>
      <c r="D2152" s="1523">
        <v>0</v>
      </c>
      <c r="E2152" s="1523">
        <v>0</v>
      </c>
      <c r="F2152" s="1524">
        <v>0</v>
      </c>
      <c r="G2152" s="1537" t="s">
        <v>6110</v>
      </c>
      <c r="H2152" s="1521">
        <v>0</v>
      </c>
      <c r="I2152" s="1521">
        <v>0</v>
      </c>
      <c r="J2152" s="1538">
        <v>0</v>
      </c>
      <c r="K2152" s="1525"/>
      <c r="L2152" s="1519">
        <v>13273120200</v>
      </c>
      <c r="M2152" s="1520">
        <v>0</v>
      </c>
      <c r="N2152" s="1520">
        <v>0</v>
      </c>
      <c r="O2152" s="1521">
        <v>0</v>
      </c>
    </row>
    <row r="2153" spans="3:15" ht="13.5">
      <c r="C2153" s="1526" t="s">
        <v>6111</v>
      </c>
      <c r="D2153" s="1523">
        <v>0</v>
      </c>
      <c r="E2153" s="1523">
        <v>0</v>
      </c>
      <c r="F2153" s="1524">
        <v>0</v>
      </c>
      <c r="G2153" s="1537" t="s">
        <v>6111</v>
      </c>
      <c r="H2153" s="1521">
        <v>0</v>
      </c>
      <c r="I2153" s="1521">
        <v>0</v>
      </c>
      <c r="J2153" s="1538">
        <v>0</v>
      </c>
      <c r="K2153" s="1525"/>
      <c r="L2153" s="1519">
        <v>13273120300</v>
      </c>
      <c r="M2153" s="1520">
        <v>0</v>
      </c>
      <c r="N2153" s="1520">
        <v>0</v>
      </c>
      <c r="O2153" s="1521">
        <v>0</v>
      </c>
    </row>
    <row r="2154" spans="3:15" ht="13.5">
      <c r="C2154" s="1526" t="s">
        <v>6112</v>
      </c>
      <c r="D2154" s="1523">
        <v>0</v>
      </c>
      <c r="E2154" s="1523">
        <v>0</v>
      </c>
      <c r="F2154" s="1524">
        <v>0</v>
      </c>
      <c r="G2154" s="1537" t="s">
        <v>6112</v>
      </c>
      <c r="H2154" s="1521">
        <v>0</v>
      </c>
      <c r="I2154" s="1521">
        <v>0</v>
      </c>
      <c r="J2154" s="1538">
        <v>0</v>
      </c>
      <c r="K2154" s="1525"/>
      <c r="L2154" s="1519">
        <v>13273120400</v>
      </c>
      <c r="M2154" s="1520">
        <v>0</v>
      </c>
      <c r="N2154" s="1520">
        <v>0</v>
      </c>
      <c r="O2154" s="1521">
        <v>0</v>
      </c>
    </row>
    <row r="2155" spans="3:15" ht="13.5">
      <c r="C2155" s="1526" t="s">
        <v>6113</v>
      </c>
      <c r="D2155" s="1523">
        <v>0</v>
      </c>
      <c r="E2155" s="1523">
        <v>0</v>
      </c>
      <c r="F2155" s="1524">
        <v>0</v>
      </c>
      <c r="G2155" s="1537" t="s">
        <v>6113</v>
      </c>
      <c r="H2155" s="1521">
        <v>0</v>
      </c>
      <c r="I2155" s="1521">
        <v>0</v>
      </c>
      <c r="J2155" s="1538">
        <v>0</v>
      </c>
      <c r="K2155" s="1525"/>
      <c r="L2155" s="1519">
        <v>13273120500</v>
      </c>
      <c r="M2155" s="1520">
        <v>0</v>
      </c>
      <c r="N2155" s="1520">
        <v>0</v>
      </c>
      <c r="O2155" s="1521">
        <v>0</v>
      </c>
    </row>
    <row r="2156" spans="3:15" ht="13.5">
      <c r="C2156" s="1526" t="s">
        <v>6114</v>
      </c>
      <c r="D2156" s="1523">
        <v>0</v>
      </c>
      <c r="E2156" s="1523">
        <v>0</v>
      </c>
      <c r="F2156" s="1524">
        <v>0</v>
      </c>
      <c r="G2156" s="1537" t="s">
        <v>6114</v>
      </c>
      <c r="H2156" s="1521">
        <v>0</v>
      </c>
      <c r="I2156" s="1521">
        <v>0</v>
      </c>
      <c r="J2156" s="1538">
        <v>0</v>
      </c>
      <c r="K2156" s="1525"/>
      <c r="L2156" s="1519">
        <v>13275960100</v>
      </c>
      <c r="M2156" s="1520">
        <v>0</v>
      </c>
      <c r="N2156" s="1520">
        <v>0</v>
      </c>
      <c r="O2156" s="1521">
        <v>0</v>
      </c>
    </row>
    <row r="2157" spans="3:15" ht="13.5">
      <c r="C2157" s="1526" t="s">
        <v>6115</v>
      </c>
      <c r="D2157" s="1523">
        <v>0</v>
      </c>
      <c r="E2157" s="1523">
        <v>0</v>
      </c>
      <c r="F2157" s="1524">
        <v>0</v>
      </c>
      <c r="G2157" s="1537" t="s">
        <v>6115</v>
      </c>
      <c r="H2157" s="1521">
        <v>0</v>
      </c>
      <c r="I2157" s="1521">
        <v>0</v>
      </c>
      <c r="J2157" s="1538">
        <v>0</v>
      </c>
      <c r="K2157" s="1525"/>
      <c r="L2157" s="1519">
        <v>13275960200</v>
      </c>
      <c r="M2157" s="1520">
        <v>0</v>
      </c>
      <c r="N2157" s="1520">
        <v>0</v>
      </c>
      <c r="O2157" s="1521">
        <v>0</v>
      </c>
    </row>
    <row r="2158" spans="3:15" ht="13.5">
      <c r="C2158" s="1526" t="s">
        <v>6116</v>
      </c>
      <c r="D2158" s="1523">
        <v>0</v>
      </c>
      <c r="E2158" s="1523">
        <v>0</v>
      </c>
      <c r="F2158" s="1524">
        <v>0</v>
      </c>
      <c r="G2158" s="1537" t="s">
        <v>6116</v>
      </c>
      <c r="H2158" s="1521">
        <v>0</v>
      </c>
      <c r="I2158" s="1521">
        <v>0</v>
      </c>
      <c r="J2158" s="1538">
        <v>0</v>
      </c>
      <c r="K2158" s="1525"/>
      <c r="L2158" s="1519">
        <v>13275960300</v>
      </c>
      <c r="M2158" s="1520">
        <v>0</v>
      </c>
      <c r="N2158" s="1520">
        <v>0</v>
      </c>
      <c r="O2158" s="1521">
        <v>0</v>
      </c>
    </row>
    <row r="2159" spans="3:15" ht="13.5">
      <c r="C2159" s="1526" t="s">
        <v>6117</v>
      </c>
      <c r="D2159" s="1523">
        <v>0</v>
      </c>
      <c r="E2159" s="1523">
        <v>0</v>
      </c>
      <c r="F2159" s="1524">
        <v>0</v>
      </c>
      <c r="G2159" s="1537" t="s">
        <v>6117</v>
      </c>
      <c r="H2159" s="1521">
        <v>0</v>
      </c>
      <c r="I2159" s="1521">
        <v>0</v>
      </c>
      <c r="J2159" s="1538">
        <v>0</v>
      </c>
      <c r="K2159" s="1525"/>
      <c r="L2159" s="1519">
        <v>13275960400</v>
      </c>
      <c r="M2159" s="1520">
        <v>0</v>
      </c>
      <c r="N2159" s="1520">
        <v>0</v>
      </c>
      <c r="O2159" s="1521">
        <v>0</v>
      </c>
    </row>
    <row r="2160" spans="3:15" ht="13.5">
      <c r="C2160" s="1526" t="s">
        <v>6118</v>
      </c>
      <c r="D2160" s="1523">
        <v>0</v>
      </c>
      <c r="E2160" s="1523">
        <v>0</v>
      </c>
      <c r="F2160" s="1524">
        <v>0</v>
      </c>
      <c r="G2160" s="1537" t="s">
        <v>6118</v>
      </c>
      <c r="H2160" s="1521">
        <v>0</v>
      </c>
      <c r="I2160" s="1521">
        <v>0</v>
      </c>
      <c r="J2160" s="1538">
        <v>0</v>
      </c>
      <c r="K2160" s="1525"/>
      <c r="L2160" s="1519">
        <v>13275960500</v>
      </c>
      <c r="M2160" s="1520">
        <v>0</v>
      </c>
      <c r="N2160" s="1520">
        <v>0</v>
      </c>
      <c r="O2160" s="1521">
        <v>0</v>
      </c>
    </row>
    <row r="2161" spans="3:15" ht="13.5">
      <c r="C2161" s="1526" t="s">
        <v>6119</v>
      </c>
      <c r="D2161" s="1523">
        <v>1</v>
      </c>
      <c r="E2161" s="1523">
        <v>0</v>
      </c>
      <c r="F2161" s="1524">
        <v>1</v>
      </c>
      <c r="G2161" s="1537" t="s">
        <v>6119</v>
      </c>
      <c r="H2161" s="1521">
        <v>0</v>
      </c>
      <c r="I2161" s="1521">
        <v>0</v>
      </c>
      <c r="J2161" s="1538">
        <v>0</v>
      </c>
      <c r="K2161" s="1525"/>
      <c r="L2161" s="1519">
        <v>13275960600</v>
      </c>
      <c r="M2161" s="1520">
        <v>1</v>
      </c>
      <c r="N2161" s="1520">
        <v>0</v>
      </c>
      <c r="O2161" s="1521">
        <v>1</v>
      </c>
    </row>
    <row r="2162" spans="3:15" ht="13.5">
      <c r="C2162" s="1526" t="s">
        <v>6120</v>
      </c>
      <c r="D2162" s="1523">
        <v>0</v>
      </c>
      <c r="E2162" s="1523">
        <v>0</v>
      </c>
      <c r="F2162" s="1524">
        <v>0</v>
      </c>
      <c r="G2162" s="1537" t="s">
        <v>6120</v>
      </c>
      <c r="H2162" s="1521">
        <v>0</v>
      </c>
      <c r="I2162" s="1521">
        <v>0</v>
      </c>
      <c r="J2162" s="1538">
        <v>0</v>
      </c>
      <c r="K2162" s="1525"/>
      <c r="L2162" s="1519">
        <v>13275960700</v>
      </c>
      <c r="M2162" s="1520">
        <v>0</v>
      </c>
      <c r="N2162" s="1520">
        <v>0</v>
      </c>
      <c r="O2162" s="1521">
        <v>0</v>
      </c>
    </row>
    <row r="2163" spans="3:15" ht="13.5">
      <c r="C2163" s="1526" t="s">
        <v>6121</v>
      </c>
      <c r="D2163" s="1523">
        <v>0</v>
      </c>
      <c r="E2163" s="1523">
        <v>0</v>
      </c>
      <c r="F2163" s="1524">
        <v>0</v>
      </c>
      <c r="G2163" s="1537" t="s">
        <v>6121</v>
      </c>
      <c r="H2163" s="1521">
        <v>0</v>
      </c>
      <c r="I2163" s="1521">
        <v>0</v>
      </c>
      <c r="J2163" s="1538">
        <v>0</v>
      </c>
      <c r="K2163" s="1525"/>
      <c r="L2163" s="1519">
        <v>13275960800</v>
      </c>
      <c r="M2163" s="1520">
        <v>0</v>
      </c>
      <c r="N2163" s="1520">
        <v>0</v>
      </c>
      <c r="O2163" s="1521">
        <v>0</v>
      </c>
    </row>
    <row r="2164" spans="3:15" ht="13.5">
      <c r="C2164" s="1526" t="s">
        <v>6122</v>
      </c>
      <c r="D2164" s="1523">
        <v>0</v>
      </c>
      <c r="E2164" s="1523">
        <v>0</v>
      </c>
      <c r="F2164" s="1524">
        <v>0</v>
      </c>
      <c r="G2164" s="1537" t="s">
        <v>6122</v>
      </c>
      <c r="H2164" s="1521">
        <v>0</v>
      </c>
      <c r="I2164" s="1521">
        <v>0</v>
      </c>
      <c r="J2164" s="1538">
        <v>0</v>
      </c>
      <c r="K2164" s="1525"/>
      <c r="L2164" s="1519">
        <v>13275960900</v>
      </c>
      <c r="M2164" s="1520">
        <v>0</v>
      </c>
      <c r="N2164" s="1520">
        <v>0</v>
      </c>
      <c r="O2164" s="1521">
        <v>0</v>
      </c>
    </row>
    <row r="2165" spans="3:15" ht="13.5">
      <c r="C2165" s="1526" t="s">
        <v>6123</v>
      </c>
      <c r="D2165" s="1523">
        <v>0</v>
      </c>
      <c r="E2165" s="1523">
        <v>0</v>
      </c>
      <c r="F2165" s="1524">
        <v>0</v>
      </c>
      <c r="G2165" s="1537" t="s">
        <v>6123</v>
      </c>
      <c r="H2165" s="1521">
        <v>1</v>
      </c>
      <c r="I2165" s="1521">
        <v>1</v>
      </c>
      <c r="J2165" s="1538">
        <v>2</v>
      </c>
      <c r="K2165" s="1525"/>
      <c r="L2165" s="1519">
        <v>13275961000</v>
      </c>
      <c r="M2165" s="1520">
        <v>1</v>
      </c>
      <c r="N2165" s="1520">
        <v>1</v>
      </c>
      <c r="O2165" s="1521">
        <v>2</v>
      </c>
    </row>
    <row r="2166" spans="3:15" ht="13.5">
      <c r="C2166" s="1526" t="s">
        <v>6124</v>
      </c>
      <c r="D2166" s="1523">
        <v>0</v>
      </c>
      <c r="E2166" s="1523">
        <v>0</v>
      </c>
      <c r="F2166" s="1524">
        <v>0</v>
      </c>
      <c r="G2166" s="1537" t="s">
        <v>6124</v>
      </c>
      <c r="H2166" s="1521">
        <v>0</v>
      </c>
      <c r="I2166" s="1521">
        <v>1</v>
      </c>
      <c r="J2166" s="1538">
        <v>1</v>
      </c>
      <c r="K2166" s="1525"/>
      <c r="L2166" s="1519">
        <v>13275961100</v>
      </c>
      <c r="M2166" s="1520">
        <v>0</v>
      </c>
      <c r="N2166" s="1520">
        <v>1</v>
      </c>
      <c r="O2166" s="1521">
        <v>1</v>
      </c>
    </row>
    <row r="2167" spans="3:15" ht="13.5">
      <c r="C2167" s="1526" t="s">
        <v>6125</v>
      </c>
      <c r="D2167" s="1523">
        <v>1</v>
      </c>
      <c r="E2167" s="1523">
        <v>1</v>
      </c>
      <c r="F2167" s="1524">
        <v>2</v>
      </c>
      <c r="G2167" s="1537" t="s">
        <v>6125</v>
      </c>
      <c r="H2167" s="1521">
        <v>1</v>
      </c>
      <c r="I2167" s="1521">
        <v>0</v>
      </c>
      <c r="J2167" s="1538">
        <v>1</v>
      </c>
      <c r="K2167" s="1525"/>
      <c r="L2167" s="1519">
        <v>13277960100</v>
      </c>
      <c r="M2167" s="1520">
        <v>1</v>
      </c>
      <c r="N2167" s="1520">
        <v>1</v>
      </c>
      <c r="O2167" s="1521">
        <v>2</v>
      </c>
    </row>
    <row r="2168" spans="3:15" ht="13.5">
      <c r="C2168" s="1526" t="s">
        <v>6126</v>
      </c>
      <c r="D2168" s="1523">
        <v>1</v>
      </c>
      <c r="E2168" s="1523">
        <v>0</v>
      </c>
      <c r="F2168" s="1524">
        <v>1</v>
      </c>
      <c r="G2168" s="1537" t="s">
        <v>6126</v>
      </c>
      <c r="H2168" s="1521">
        <v>0</v>
      </c>
      <c r="I2168" s="1521">
        <v>0</v>
      </c>
      <c r="J2168" s="1538">
        <v>0</v>
      </c>
      <c r="K2168" s="1525"/>
      <c r="L2168" s="1519">
        <v>13277960200</v>
      </c>
      <c r="M2168" s="1520">
        <v>1</v>
      </c>
      <c r="N2168" s="1520">
        <v>0</v>
      </c>
      <c r="O2168" s="1521">
        <v>1</v>
      </c>
    </row>
    <row r="2169" spans="3:15" ht="13.5">
      <c r="C2169" s="1526" t="s">
        <v>6127</v>
      </c>
      <c r="D2169" s="1523">
        <v>0</v>
      </c>
      <c r="E2169" s="1523">
        <v>0</v>
      </c>
      <c r="F2169" s="1524">
        <v>0</v>
      </c>
      <c r="G2169" s="1537" t="s">
        <v>6127</v>
      </c>
      <c r="H2169" s="1521">
        <v>1</v>
      </c>
      <c r="I2169" s="1521">
        <v>0</v>
      </c>
      <c r="J2169" s="1538">
        <v>1</v>
      </c>
      <c r="K2169" s="1525"/>
      <c r="L2169" s="1519">
        <v>13277960300</v>
      </c>
      <c r="M2169" s="1520">
        <v>1</v>
      </c>
      <c r="N2169" s="1520">
        <v>0</v>
      </c>
      <c r="O2169" s="1521">
        <v>1</v>
      </c>
    </row>
    <row r="2170" spans="3:15" ht="13.5">
      <c r="C2170" s="1526" t="s">
        <v>6128</v>
      </c>
      <c r="D2170" s="1523">
        <v>0</v>
      </c>
      <c r="E2170" s="1523">
        <v>0</v>
      </c>
      <c r="F2170" s="1524">
        <v>0</v>
      </c>
      <c r="G2170" s="1537" t="s">
        <v>6128</v>
      </c>
      <c r="H2170" s="1521">
        <v>0</v>
      </c>
      <c r="I2170" s="1521">
        <v>0</v>
      </c>
      <c r="J2170" s="1538">
        <v>0</v>
      </c>
      <c r="K2170" s="1525"/>
      <c r="L2170" s="1519">
        <v>13277960400</v>
      </c>
      <c r="M2170" s="1520">
        <v>0</v>
      </c>
      <c r="N2170" s="1520">
        <v>0</v>
      </c>
      <c r="O2170" s="1521">
        <v>0</v>
      </c>
    </row>
    <row r="2171" spans="3:15" ht="13.5">
      <c r="C2171" s="1526" t="s">
        <v>6129</v>
      </c>
      <c r="D2171" s="1523">
        <v>1</v>
      </c>
      <c r="E2171" s="1523">
        <v>0</v>
      </c>
      <c r="F2171" s="1524">
        <v>1</v>
      </c>
      <c r="G2171" s="1537" t="s">
        <v>6129</v>
      </c>
      <c r="H2171" s="1521">
        <v>1</v>
      </c>
      <c r="I2171" s="1521">
        <v>1</v>
      </c>
      <c r="J2171" s="1538">
        <v>2</v>
      </c>
      <c r="K2171" s="1525"/>
      <c r="L2171" s="1519">
        <v>13277960500</v>
      </c>
      <c r="M2171" s="1520">
        <v>1</v>
      </c>
      <c r="N2171" s="1520">
        <v>1</v>
      </c>
      <c r="O2171" s="1521">
        <v>2</v>
      </c>
    </row>
    <row r="2172" spans="3:15" ht="13.5">
      <c r="C2172" s="1526" t="s">
        <v>6130</v>
      </c>
      <c r="D2172" s="1523">
        <v>0</v>
      </c>
      <c r="E2172" s="1523">
        <v>0</v>
      </c>
      <c r="F2172" s="1524">
        <v>0</v>
      </c>
      <c r="G2172" s="1537" t="s">
        <v>6130</v>
      </c>
      <c r="H2172" s="1521">
        <v>0</v>
      </c>
      <c r="I2172" s="1521">
        <v>0</v>
      </c>
      <c r="J2172" s="1538">
        <v>0</v>
      </c>
      <c r="K2172" s="1525"/>
      <c r="L2172" s="1519">
        <v>13277960600</v>
      </c>
      <c r="M2172" s="1520">
        <v>0</v>
      </c>
      <c r="N2172" s="1520">
        <v>0</v>
      </c>
      <c r="O2172" s="1521">
        <v>0</v>
      </c>
    </row>
    <row r="2173" spans="3:15" ht="13.5">
      <c r="C2173" s="1526" t="s">
        <v>6131</v>
      </c>
      <c r="D2173" s="1523">
        <v>0</v>
      </c>
      <c r="E2173" s="1523">
        <v>0</v>
      </c>
      <c r="F2173" s="1524">
        <v>0</v>
      </c>
      <c r="G2173" s="1537" t="s">
        <v>6131</v>
      </c>
      <c r="H2173" s="1521">
        <v>0</v>
      </c>
      <c r="I2173" s="1521">
        <v>0</v>
      </c>
      <c r="J2173" s="1538">
        <v>0</v>
      </c>
      <c r="K2173" s="1525"/>
      <c r="L2173" s="1519">
        <v>13277960700</v>
      </c>
      <c r="M2173" s="1520">
        <v>0</v>
      </c>
      <c r="N2173" s="1520">
        <v>0</v>
      </c>
      <c r="O2173" s="1521">
        <v>0</v>
      </c>
    </row>
    <row r="2174" spans="3:15" ht="13.5">
      <c r="C2174" s="1526" t="s">
        <v>6132</v>
      </c>
      <c r="D2174" s="1523">
        <v>0</v>
      </c>
      <c r="E2174" s="1523">
        <v>0</v>
      </c>
      <c r="F2174" s="1524">
        <v>0</v>
      </c>
      <c r="G2174" s="1537" t="s">
        <v>6132</v>
      </c>
      <c r="H2174" s="1521">
        <v>0</v>
      </c>
      <c r="I2174" s="1521">
        <v>0</v>
      </c>
      <c r="J2174" s="1538">
        <v>0</v>
      </c>
      <c r="K2174" s="1525"/>
      <c r="L2174" s="1519">
        <v>13277960800</v>
      </c>
      <c r="M2174" s="1520">
        <v>0</v>
      </c>
      <c r="N2174" s="1520">
        <v>0</v>
      </c>
      <c r="O2174" s="1521">
        <v>0</v>
      </c>
    </row>
    <row r="2175" spans="3:15" ht="13.5">
      <c r="C2175" s="1526" t="s">
        <v>6133</v>
      </c>
      <c r="D2175" s="1523">
        <v>0</v>
      </c>
      <c r="E2175" s="1523">
        <v>0</v>
      </c>
      <c r="F2175" s="1524">
        <v>0</v>
      </c>
      <c r="G2175" s="1537" t="s">
        <v>6133</v>
      </c>
      <c r="H2175" s="1521">
        <v>0</v>
      </c>
      <c r="I2175" s="1521">
        <v>0</v>
      </c>
      <c r="J2175" s="1538">
        <v>0</v>
      </c>
      <c r="K2175" s="1525"/>
      <c r="L2175" s="1519">
        <v>13277960900</v>
      </c>
      <c r="M2175" s="1520">
        <v>0</v>
      </c>
      <c r="N2175" s="1520">
        <v>0</v>
      </c>
      <c r="O2175" s="1521">
        <v>0</v>
      </c>
    </row>
    <row r="2176" spans="3:15" ht="13.5">
      <c r="C2176" s="1526" t="s">
        <v>6134</v>
      </c>
      <c r="D2176" s="1523">
        <v>0</v>
      </c>
      <c r="E2176" s="1523">
        <v>0</v>
      </c>
      <c r="F2176" s="1524">
        <v>0</v>
      </c>
      <c r="G2176" s="1537" t="s">
        <v>6134</v>
      </c>
      <c r="H2176" s="1521">
        <v>0</v>
      </c>
      <c r="I2176" s="1521">
        <v>0</v>
      </c>
      <c r="J2176" s="1538">
        <v>0</v>
      </c>
      <c r="K2176" s="1525"/>
      <c r="L2176" s="1519">
        <v>13279970100</v>
      </c>
      <c r="M2176" s="1520">
        <v>0</v>
      </c>
      <c r="N2176" s="1520">
        <v>0</v>
      </c>
      <c r="O2176" s="1521">
        <v>0</v>
      </c>
    </row>
    <row r="2177" spans="3:15" ht="13.5">
      <c r="C2177" s="1526" t="s">
        <v>6135</v>
      </c>
      <c r="D2177" s="1523">
        <v>0</v>
      </c>
      <c r="E2177" s="1523">
        <v>0</v>
      </c>
      <c r="F2177" s="1524">
        <v>0</v>
      </c>
      <c r="G2177" s="1537" t="s">
        <v>6135</v>
      </c>
      <c r="H2177" s="1521">
        <v>0</v>
      </c>
      <c r="I2177" s="1521">
        <v>0</v>
      </c>
      <c r="J2177" s="1538">
        <v>0</v>
      </c>
      <c r="K2177" s="1525"/>
      <c r="L2177" s="1519">
        <v>13279970200</v>
      </c>
      <c r="M2177" s="1520">
        <v>0</v>
      </c>
      <c r="N2177" s="1520">
        <v>0</v>
      </c>
      <c r="O2177" s="1521">
        <v>0</v>
      </c>
    </row>
    <row r="2178" spans="3:15" ht="13.5">
      <c r="C2178" s="1526" t="s">
        <v>6136</v>
      </c>
      <c r="D2178" s="1523">
        <v>0</v>
      </c>
      <c r="E2178" s="1523">
        <v>0</v>
      </c>
      <c r="F2178" s="1524">
        <v>0</v>
      </c>
      <c r="G2178" s="1537" t="s">
        <v>6136</v>
      </c>
      <c r="H2178" s="1521">
        <v>0</v>
      </c>
      <c r="I2178" s="1521">
        <v>0</v>
      </c>
      <c r="J2178" s="1538">
        <v>0</v>
      </c>
      <c r="K2178" s="1525"/>
      <c r="L2178" s="1519">
        <v>13279970300</v>
      </c>
      <c r="M2178" s="1520">
        <v>0</v>
      </c>
      <c r="N2178" s="1520">
        <v>0</v>
      </c>
      <c r="O2178" s="1521">
        <v>0</v>
      </c>
    </row>
    <row r="2179" spans="3:15" ht="13.5">
      <c r="C2179" s="1526" t="s">
        <v>6137</v>
      </c>
      <c r="D2179" s="1523">
        <v>0</v>
      </c>
      <c r="E2179" s="1523">
        <v>0</v>
      </c>
      <c r="F2179" s="1524">
        <v>0</v>
      </c>
      <c r="G2179" s="1537" t="s">
        <v>6137</v>
      </c>
      <c r="H2179" s="1521">
        <v>0</v>
      </c>
      <c r="I2179" s="1521">
        <v>0</v>
      </c>
      <c r="J2179" s="1538">
        <v>0</v>
      </c>
      <c r="K2179" s="1525"/>
      <c r="L2179" s="1519">
        <v>13279970400</v>
      </c>
      <c r="M2179" s="1520">
        <v>0</v>
      </c>
      <c r="N2179" s="1520">
        <v>0</v>
      </c>
      <c r="O2179" s="1521">
        <v>0</v>
      </c>
    </row>
    <row r="2180" spans="3:15" ht="13.5">
      <c r="C2180" s="1526" t="s">
        <v>6138</v>
      </c>
      <c r="D2180" s="1523">
        <v>0</v>
      </c>
      <c r="E2180" s="1523">
        <v>0</v>
      </c>
      <c r="F2180" s="1524">
        <v>0</v>
      </c>
      <c r="G2180" s="1537" t="s">
        <v>6138</v>
      </c>
      <c r="H2180" s="1521">
        <v>0</v>
      </c>
      <c r="I2180" s="1521">
        <v>0</v>
      </c>
      <c r="J2180" s="1538">
        <v>0</v>
      </c>
      <c r="K2180" s="1525"/>
      <c r="L2180" s="1519">
        <v>13279970500</v>
      </c>
      <c r="M2180" s="1520">
        <v>0</v>
      </c>
      <c r="N2180" s="1520">
        <v>0</v>
      </c>
      <c r="O2180" s="1521">
        <v>0</v>
      </c>
    </row>
    <row r="2181" spans="3:15" ht="13.5">
      <c r="C2181" s="1526" t="s">
        <v>6139</v>
      </c>
      <c r="D2181" s="1523">
        <v>0</v>
      </c>
      <c r="E2181" s="1523">
        <v>0</v>
      </c>
      <c r="F2181" s="1524">
        <v>0</v>
      </c>
      <c r="G2181" s="1537" t="s">
        <v>6139</v>
      </c>
      <c r="H2181" s="1521">
        <v>0</v>
      </c>
      <c r="I2181" s="1521">
        <v>0</v>
      </c>
      <c r="J2181" s="1538">
        <v>0</v>
      </c>
      <c r="K2181" s="1525"/>
      <c r="L2181" s="1519">
        <v>13279970600</v>
      </c>
      <c r="M2181" s="1520">
        <v>0</v>
      </c>
      <c r="N2181" s="1520">
        <v>0</v>
      </c>
      <c r="O2181" s="1521">
        <v>0</v>
      </c>
    </row>
    <row r="2182" spans="3:15" ht="13.5">
      <c r="C2182" s="1526" t="s">
        <v>6140</v>
      </c>
      <c r="D2182" s="1523">
        <v>0</v>
      </c>
      <c r="E2182" s="1523">
        <v>0</v>
      </c>
      <c r="F2182" s="1524">
        <v>0</v>
      </c>
      <c r="G2182" s="1537" t="s">
        <v>6140</v>
      </c>
      <c r="H2182" s="1521">
        <v>0</v>
      </c>
      <c r="I2182" s="1521">
        <v>1</v>
      </c>
      <c r="J2182" s="1538">
        <v>1</v>
      </c>
      <c r="K2182" s="1525"/>
      <c r="L2182" s="1519">
        <v>13281960100</v>
      </c>
      <c r="M2182" s="1520">
        <v>0</v>
      </c>
      <c r="N2182" s="1520">
        <v>1</v>
      </c>
      <c r="O2182" s="1521">
        <v>1</v>
      </c>
    </row>
    <row r="2183" spans="3:15" ht="13.5">
      <c r="C2183" s="1526" t="s">
        <v>6141</v>
      </c>
      <c r="D2183" s="1523">
        <v>1</v>
      </c>
      <c r="E2183" s="1523">
        <v>1</v>
      </c>
      <c r="F2183" s="1524">
        <v>2</v>
      </c>
      <c r="G2183" s="1537" t="s">
        <v>6141</v>
      </c>
      <c r="H2183" s="1521">
        <v>0</v>
      </c>
      <c r="I2183" s="1521">
        <v>1</v>
      </c>
      <c r="J2183" s="1538">
        <v>1</v>
      </c>
      <c r="K2183" s="1525"/>
      <c r="L2183" s="1519">
        <v>13281960200</v>
      </c>
      <c r="M2183" s="1520">
        <v>1</v>
      </c>
      <c r="N2183" s="1520">
        <v>1</v>
      </c>
      <c r="O2183" s="1521">
        <v>2</v>
      </c>
    </row>
    <row r="2184" spans="3:15" ht="13.5">
      <c r="C2184" s="1526" t="s">
        <v>6142</v>
      </c>
      <c r="D2184" s="1523">
        <v>0</v>
      </c>
      <c r="E2184" s="1523">
        <v>0</v>
      </c>
      <c r="F2184" s="1524">
        <v>0</v>
      </c>
      <c r="G2184" s="1537" t="s">
        <v>6142</v>
      </c>
      <c r="H2184" s="1521">
        <v>0</v>
      </c>
      <c r="I2184" s="1521">
        <v>0</v>
      </c>
      <c r="J2184" s="1538">
        <v>0</v>
      </c>
      <c r="K2184" s="1525"/>
      <c r="L2184" s="1519">
        <v>13281960300</v>
      </c>
      <c r="M2184" s="1520">
        <v>0</v>
      </c>
      <c r="N2184" s="1520">
        <v>0</v>
      </c>
      <c r="O2184" s="1521">
        <v>0</v>
      </c>
    </row>
    <row r="2185" spans="3:15" ht="13.5">
      <c r="C2185" s="1526" t="s">
        <v>6143</v>
      </c>
      <c r="D2185" s="1523">
        <v>0</v>
      </c>
      <c r="E2185" s="1523">
        <v>0</v>
      </c>
      <c r="F2185" s="1524">
        <v>0</v>
      </c>
      <c r="G2185" s="1537" t="s">
        <v>6143</v>
      </c>
      <c r="H2185" s="1521">
        <v>0</v>
      </c>
      <c r="I2185" s="1521">
        <v>0</v>
      </c>
      <c r="J2185" s="1538">
        <v>0</v>
      </c>
      <c r="K2185" s="1525"/>
      <c r="L2185" s="1519">
        <v>13283960100</v>
      </c>
      <c r="M2185" s="1520">
        <v>0</v>
      </c>
      <c r="N2185" s="1520">
        <v>0</v>
      </c>
      <c r="O2185" s="1521">
        <v>0</v>
      </c>
    </row>
    <row r="2186" spans="3:15" ht="13.5">
      <c r="C2186" s="1526" t="s">
        <v>6144</v>
      </c>
      <c r="D2186" s="1523">
        <v>0</v>
      </c>
      <c r="E2186" s="1523">
        <v>0</v>
      </c>
      <c r="F2186" s="1524">
        <v>0</v>
      </c>
      <c r="G2186" s="1537" t="s">
        <v>6144</v>
      </c>
      <c r="H2186" s="1521">
        <v>0</v>
      </c>
      <c r="I2186" s="1521">
        <v>0</v>
      </c>
      <c r="J2186" s="1538">
        <v>0</v>
      </c>
      <c r="K2186" s="1525"/>
      <c r="L2186" s="1519">
        <v>13283960200</v>
      </c>
      <c r="M2186" s="1520">
        <v>0</v>
      </c>
      <c r="N2186" s="1520">
        <v>0</v>
      </c>
      <c r="O2186" s="1521">
        <v>0</v>
      </c>
    </row>
    <row r="2187" spans="3:15" ht="13.5">
      <c r="C2187" s="1526" t="s">
        <v>6145</v>
      </c>
      <c r="D2187" s="1523">
        <v>0</v>
      </c>
      <c r="E2187" s="1523">
        <v>0</v>
      </c>
      <c r="F2187" s="1524">
        <v>0</v>
      </c>
      <c r="G2187" s="1537" t="s">
        <v>6145</v>
      </c>
      <c r="H2187" s="1521">
        <v>0</v>
      </c>
      <c r="I2187" s="1521">
        <v>0</v>
      </c>
      <c r="J2187" s="1538">
        <v>0</v>
      </c>
      <c r="K2187" s="1525"/>
      <c r="L2187" s="1519">
        <v>13285960100</v>
      </c>
      <c r="M2187" s="1520">
        <v>0</v>
      </c>
      <c r="N2187" s="1520">
        <v>0</v>
      </c>
      <c r="O2187" s="1521">
        <v>0</v>
      </c>
    </row>
    <row r="2188" spans="3:15" ht="13.5">
      <c r="C2188" s="1526" t="s">
        <v>6146</v>
      </c>
      <c r="D2188" s="1523">
        <v>1</v>
      </c>
      <c r="E2188" s="1523">
        <v>1</v>
      </c>
      <c r="F2188" s="1524">
        <v>2</v>
      </c>
      <c r="G2188" s="1537" t="s">
        <v>6146</v>
      </c>
      <c r="H2188" s="1521">
        <v>1</v>
      </c>
      <c r="I2188" s="1521">
        <v>1</v>
      </c>
      <c r="J2188" s="1538">
        <v>2</v>
      </c>
      <c r="K2188" s="1525"/>
      <c r="L2188" s="1519">
        <v>13285960201</v>
      </c>
      <c r="M2188" s="1520">
        <v>1</v>
      </c>
      <c r="N2188" s="1520">
        <v>1</v>
      </c>
      <c r="O2188" s="1521">
        <v>2</v>
      </c>
    </row>
    <row r="2189" spans="3:15" ht="13.5">
      <c r="C2189" s="1526" t="s">
        <v>6147</v>
      </c>
      <c r="D2189" s="1523">
        <v>1</v>
      </c>
      <c r="E2189" s="1523">
        <v>1</v>
      </c>
      <c r="F2189" s="1524">
        <v>2</v>
      </c>
      <c r="G2189" s="1537" t="s">
        <v>6147</v>
      </c>
      <c r="H2189" s="1521">
        <v>1</v>
      </c>
      <c r="I2189" s="1521">
        <v>1</v>
      </c>
      <c r="J2189" s="1538">
        <v>2</v>
      </c>
      <c r="K2189" s="1525"/>
      <c r="L2189" s="1519">
        <v>13285960202</v>
      </c>
      <c r="M2189" s="1520">
        <v>1</v>
      </c>
      <c r="N2189" s="1520">
        <v>1</v>
      </c>
      <c r="O2189" s="1521">
        <v>2</v>
      </c>
    </row>
    <row r="2190" spans="3:15" ht="13.5">
      <c r="C2190" s="1526" t="s">
        <v>6148</v>
      </c>
      <c r="D2190" s="1523">
        <v>1</v>
      </c>
      <c r="E2190" s="1523">
        <v>1</v>
      </c>
      <c r="F2190" s="1524">
        <v>2</v>
      </c>
      <c r="G2190" s="1537" t="s">
        <v>6148</v>
      </c>
      <c r="H2190" s="1521">
        <v>1</v>
      </c>
      <c r="I2190" s="1521">
        <v>1</v>
      </c>
      <c r="J2190" s="1538">
        <v>2</v>
      </c>
      <c r="K2190" s="1525"/>
      <c r="L2190" s="1519">
        <v>13285960300</v>
      </c>
      <c r="M2190" s="1520">
        <v>1</v>
      </c>
      <c r="N2190" s="1520">
        <v>1</v>
      </c>
      <c r="O2190" s="1521">
        <v>2</v>
      </c>
    </row>
    <row r="2191" spans="3:15" ht="13.5">
      <c r="C2191" s="1526" t="s">
        <v>6149</v>
      </c>
      <c r="D2191" s="1523">
        <v>0</v>
      </c>
      <c r="E2191" s="1523">
        <v>0</v>
      </c>
      <c r="F2191" s="1524">
        <v>0</v>
      </c>
      <c r="G2191" s="1537" t="s">
        <v>6149</v>
      </c>
      <c r="H2191" s="1521">
        <v>0</v>
      </c>
      <c r="I2191" s="1521">
        <v>0</v>
      </c>
      <c r="J2191" s="1538">
        <v>0</v>
      </c>
      <c r="K2191" s="1525"/>
      <c r="L2191" s="1519">
        <v>13285960400</v>
      </c>
      <c r="M2191" s="1520">
        <v>0</v>
      </c>
      <c r="N2191" s="1520">
        <v>0</v>
      </c>
      <c r="O2191" s="1521">
        <v>0</v>
      </c>
    </row>
    <row r="2192" spans="3:15" ht="13.5">
      <c r="C2192" s="1526" t="s">
        <v>6150</v>
      </c>
      <c r="D2192" s="1523">
        <v>0</v>
      </c>
      <c r="E2192" s="1523">
        <v>0</v>
      </c>
      <c r="F2192" s="1524">
        <v>0</v>
      </c>
      <c r="G2192" s="1537" t="s">
        <v>6150</v>
      </c>
      <c r="H2192" s="1521">
        <v>0</v>
      </c>
      <c r="I2192" s="1521">
        <v>0</v>
      </c>
      <c r="J2192" s="1538">
        <v>0</v>
      </c>
      <c r="K2192" s="1525"/>
      <c r="L2192" s="1519">
        <v>13285960501</v>
      </c>
      <c r="M2192" s="1520">
        <v>0</v>
      </c>
      <c r="N2192" s="1520">
        <v>0</v>
      </c>
      <c r="O2192" s="1521">
        <v>0</v>
      </c>
    </row>
    <row r="2193" spans="3:15" ht="13.5">
      <c r="C2193" s="1526" t="s">
        <v>6151</v>
      </c>
      <c r="D2193" s="1523">
        <v>0</v>
      </c>
      <c r="E2193" s="1523">
        <v>0</v>
      </c>
      <c r="F2193" s="1524">
        <v>0</v>
      </c>
      <c r="G2193" s="1537" t="s">
        <v>6151</v>
      </c>
      <c r="H2193" s="1521">
        <v>0</v>
      </c>
      <c r="I2193" s="1521">
        <v>1</v>
      </c>
      <c r="J2193" s="1538">
        <v>1</v>
      </c>
      <c r="K2193" s="1525"/>
      <c r="L2193" s="1519">
        <v>13285960502</v>
      </c>
      <c r="M2193" s="1520">
        <v>0</v>
      </c>
      <c r="N2193" s="1520">
        <v>1</v>
      </c>
      <c r="O2193" s="1521">
        <v>1</v>
      </c>
    </row>
    <row r="2194" spans="3:15" ht="13.5">
      <c r="C2194" s="1526" t="s">
        <v>6152</v>
      </c>
      <c r="D2194" s="1523">
        <v>0</v>
      </c>
      <c r="E2194" s="1523">
        <v>0</v>
      </c>
      <c r="F2194" s="1524">
        <v>0</v>
      </c>
      <c r="G2194" s="1537" t="s">
        <v>6152</v>
      </c>
      <c r="H2194" s="1521">
        <v>0</v>
      </c>
      <c r="I2194" s="1521">
        <v>0</v>
      </c>
      <c r="J2194" s="1538">
        <v>0</v>
      </c>
      <c r="K2194" s="1525"/>
      <c r="L2194" s="1519">
        <v>13285960600</v>
      </c>
      <c r="M2194" s="1520">
        <v>0</v>
      </c>
      <c r="N2194" s="1520">
        <v>0</v>
      </c>
      <c r="O2194" s="1521">
        <v>0</v>
      </c>
    </row>
    <row r="2195" spans="3:15" ht="13.5">
      <c r="C2195" s="1526" t="s">
        <v>6153</v>
      </c>
      <c r="D2195" s="1523">
        <v>0</v>
      </c>
      <c r="E2195" s="1523">
        <v>0</v>
      </c>
      <c r="F2195" s="1524">
        <v>0</v>
      </c>
      <c r="G2195" s="1537" t="s">
        <v>6153</v>
      </c>
      <c r="H2195" s="1521">
        <v>0</v>
      </c>
      <c r="I2195" s="1521">
        <v>1</v>
      </c>
      <c r="J2195" s="1538">
        <v>1</v>
      </c>
      <c r="K2195" s="1525"/>
      <c r="L2195" s="1519">
        <v>13285960700</v>
      </c>
      <c r="M2195" s="1520">
        <v>0</v>
      </c>
      <c r="N2195" s="1520">
        <v>1</v>
      </c>
      <c r="O2195" s="1521">
        <v>1</v>
      </c>
    </row>
    <row r="2196" spans="3:15" ht="13.5">
      <c r="C2196" s="1526" t="s">
        <v>6154</v>
      </c>
      <c r="D2196" s="1523">
        <v>0</v>
      </c>
      <c r="E2196" s="1523">
        <v>0</v>
      </c>
      <c r="F2196" s="1524">
        <v>0</v>
      </c>
      <c r="G2196" s="1537" t="s">
        <v>6154</v>
      </c>
      <c r="H2196" s="1521">
        <v>0</v>
      </c>
      <c r="I2196" s="1521">
        <v>0</v>
      </c>
      <c r="J2196" s="1538">
        <v>0</v>
      </c>
      <c r="K2196" s="1525"/>
      <c r="L2196" s="1519">
        <v>13285960800</v>
      </c>
      <c r="M2196" s="1520">
        <v>0</v>
      </c>
      <c r="N2196" s="1520">
        <v>0</v>
      </c>
      <c r="O2196" s="1521">
        <v>0</v>
      </c>
    </row>
    <row r="2197" spans="3:15" ht="13.5">
      <c r="C2197" s="1526" t="s">
        <v>6155</v>
      </c>
      <c r="D2197" s="1523">
        <v>0</v>
      </c>
      <c r="E2197" s="1523">
        <v>0</v>
      </c>
      <c r="F2197" s="1524">
        <v>0</v>
      </c>
      <c r="G2197" s="1537" t="s">
        <v>6155</v>
      </c>
      <c r="H2197" s="1521">
        <v>0</v>
      </c>
      <c r="I2197" s="1521">
        <v>0</v>
      </c>
      <c r="J2197" s="1538">
        <v>0</v>
      </c>
      <c r="K2197" s="1525"/>
      <c r="L2197" s="1519">
        <v>13285960901</v>
      </c>
      <c r="M2197" s="1520">
        <v>0</v>
      </c>
      <c r="N2197" s="1520">
        <v>0</v>
      </c>
      <c r="O2197" s="1521">
        <v>0</v>
      </c>
    </row>
    <row r="2198" spans="3:15" ht="13.5">
      <c r="C2198" s="1526" t="s">
        <v>6156</v>
      </c>
      <c r="D2198" s="1523">
        <v>1</v>
      </c>
      <c r="E2198" s="1523">
        <v>1</v>
      </c>
      <c r="F2198" s="1524">
        <v>2</v>
      </c>
      <c r="G2198" s="1537" t="s">
        <v>6156</v>
      </c>
      <c r="H2198" s="1521">
        <v>0</v>
      </c>
      <c r="I2198" s="1521">
        <v>0</v>
      </c>
      <c r="J2198" s="1538">
        <v>0</v>
      </c>
      <c r="K2198" s="1525"/>
      <c r="L2198" s="1519">
        <v>13285960902</v>
      </c>
      <c r="M2198" s="1520">
        <v>1</v>
      </c>
      <c r="N2198" s="1520">
        <v>1</v>
      </c>
      <c r="O2198" s="1521">
        <v>2</v>
      </c>
    </row>
    <row r="2199" spans="3:15" ht="13.5">
      <c r="C2199" s="1526" t="s">
        <v>6157</v>
      </c>
      <c r="D2199" s="1523">
        <v>0</v>
      </c>
      <c r="E2199" s="1523">
        <v>0</v>
      </c>
      <c r="F2199" s="1524">
        <v>0</v>
      </c>
      <c r="G2199" s="1537" t="s">
        <v>6157</v>
      </c>
      <c r="H2199" s="1521">
        <v>0</v>
      </c>
      <c r="I2199" s="1521">
        <v>0</v>
      </c>
      <c r="J2199" s="1538">
        <v>0</v>
      </c>
      <c r="K2199" s="1525"/>
      <c r="L2199" s="1519">
        <v>13285961000</v>
      </c>
      <c r="M2199" s="1520">
        <v>0</v>
      </c>
      <c r="N2199" s="1520">
        <v>0</v>
      </c>
      <c r="O2199" s="1521">
        <v>0</v>
      </c>
    </row>
    <row r="2200" spans="3:15" ht="13.5">
      <c r="C2200" s="1526" t="s">
        <v>6158</v>
      </c>
      <c r="D2200" s="1523">
        <v>1</v>
      </c>
      <c r="E2200" s="1523">
        <v>0</v>
      </c>
      <c r="F2200" s="1524">
        <v>1</v>
      </c>
      <c r="G2200" s="1537" t="s">
        <v>6158</v>
      </c>
      <c r="H2200" s="1521">
        <v>0</v>
      </c>
      <c r="I2200" s="1521">
        <v>1</v>
      </c>
      <c r="J2200" s="1538">
        <v>1</v>
      </c>
      <c r="K2200" s="1525"/>
      <c r="L2200" s="1519">
        <v>13285961100</v>
      </c>
      <c r="M2200" s="1520">
        <v>1</v>
      </c>
      <c r="N2200" s="1520">
        <v>1</v>
      </c>
      <c r="O2200" s="1521">
        <v>1</v>
      </c>
    </row>
    <row r="2201" spans="3:15" ht="13.5">
      <c r="C2201" s="1526" t="s">
        <v>6159</v>
      </c>
      <c r="D2201" s="1523">
        <v>0</v>
      </c>
      <c r="E2201" s="1523">
        <v>0</v>
      </c>
      <c r="F2201" s="1524">
        <v>0</v>
      </c>
      <c r="G2201" s="1537" t="s">
        <v>6159</v>
      </c>
      <c r="H2201" s="1521">
        <v>0</v>
      </c>
      <c r="I2201" s="1521">
        <v>0</v>
      </c>
      <c r="J2201" s="1538">
        <v>0</v>
      </c>
      <c r="K2201" s="1525"/>
      <c r="L2201" s="1519">
        <v>13287970200</v>
      </c>
      <c r="M2201" s="1520">
        <v>0</v>
      </c>
      <c r="N2201" s="1520">
        <v>0</v>
      </c>
      <c r="O2201" s="1521">
        <v>0</v>
      </c>
    </row>
    <row r="2202" spans="3:15" ht="13.5">
      <c r="C2202" s="1526" t="s">
        <v>6160</v>
      </c>
      <c r="D2202" s="1523">
        <v>0</v>
      </c>
      <c r="E2202" s="1523">
        <v>1</v>
      </c>
      <c r="F2202" s="1524">
        <v>1</v>
      </c>
      <c r="G2202" s="1537" t="s">
        <v>6160</v>
      </c>
      <c r="H2202" s="1521">
        <v>0</v>
      </c>
      <c r="I2202" s="1521">
        <v>0</v>
      </c>
      <c r="J2202" s="1538">
        <v>0</v>
      </c>
      <c r="K2202" s="1525"/>
      <c r="L2202" s="1519">
        <v>13287970300</v>
      </c>
      <c r="M2202" s="1520">
        <v>0</v>
      </c>
      <c r="N2202" s="1520">
        <v>1</v>
      </c>
      <c r="O2202" s="1521">
        <v>1</v>
      </c>
    </row>
    <row r="2203" spans="3:15" ht="13.5">
      <c r="C2203" s="1526" t="s">
        <v>6161</v>
      </c>
      <c r="D2203" s="1523">
        <v>0</v>
      </c>
      <c r="E2203" s="1523">
        <v>0</v>
      </c>
      <c r="F2203" s="1524">
        <v>0</v>
      </c>
      <c r="G2203" s="1537" t="s">
        <v>6161</v>
      </c>
      <c r="H2203" s="1521">
        <v>0</v>
      </c>
      <c r="I2203" s="1521">
        <v>0</v>
      </c>
      <c r="J2203" s="1538">
        <v>0</v>
      </c>
      <c r="K2203" s="1525"/>
      <c r="L2203" s="1519">
        <v>13289060100</v>
      </c>
      <c r="M2203" s="1520">
        <v>0</v>
      </c>
      <c r="N2203" s="1520">
        <v>0</v>
      </c>
      <c r="O2203" s="1521">
        <v>0</v>
      </c>
    </row>
    <row r="2204" spans="3:15" ht="13.5">
      <c r="C2204" s="1526" t="s">
        <v>6162</v>
      </c>
      <c r="D2204" s="1523">
        <v>0</v>
      </c>
      <c r="E2204" s="1523">
        <v>0</v>
      </c>
      <c r="F2204" s="1524">
        <v>0</v>
      </c>
      <c r="G2204" s="1537" t="s">
        <v>6162</v>
      </c>
      <c r="H2204" s="1521">
        <v>0</v>
      </c>
      <c r="I2204" s="1521">
        <v>0</v>
      </c>
      <c r="J2204" s="1538">
        <v>0</v>
      </c>
      <c r="K2204" s="1525"/>
      <c r="L2204" s="1519">
        <v>13289060200</v>
      </c>
      <c r="M2204" s="1520">
        <v>0</v>
      </c>
      <c r="N2204" s="1520">
        <v>0</v>
      </c>
      <c r="O2204" s="1521">
        <v>0</v>
      </c>
    </row>
    <row r="2205" spans="3:15" ht="13.5">
      <c r="C2205" s="1526" t="s">
        <v>6163</v>
      </c>
      <c r="D2205" s="1523">
        <v>0</v>
      </c>
      <c r="E2205" s="1523">
        <v>0</v>
      </c>
      <c r="F2205" s="1524">
        <v>0</v>
      </c>
      <c r="G2205" s="1537" t="s">
        <v>6163</v>
      </c>
      <c r="H2205" s="1521">
        <v>0</v>
      </c>
      <c r="I2205" s="1521">
        <v>0</v>
      </c>
      <c r="J2205" s="1538">
        <v>0</v>
      </c>
      <c r="K2205" s="1525"/>
      <c r="L2205" s="1519">
        <v>13291000101</v>
      </c>
      <c r="M2205" s="1520">
        <v>0</v>
      </c>
      <c r="N2205" s="1520">
        <v>0</v>
      </c>
      <c r="O2205" s="1521">
        <v>0</v>
      </c>
    </row>
    <row r="2206" spans="3:15" ht="13.5">
      <c r="C2206" s="1526" t="s">
        <v>6164</v>
      </c>
      <c r="D2206" s="1523">
        <v>0</v>
      </c>
      <c r="E2206" s="1523">
        <v>1</v>
      </c>
      <c r="F2206" s="1524">
        <v>1</v>
      </c>
      <c r="G2206" s="1537" t="s">
        <v>6164</v>
      </c>
      <c r="H2206" s="1521">
        <v>0</v>
      </c>
      <c r="I2206" s="1521" t="s">
        <v>4096</v>
      </c>
      <c r="J2206" s="1538">
        <v>0</v>
      </c>
      <c r="K2206" s="1525"/>
      <c r="L2206" s="1519">
        <v>13291000102</v>
      </c>
      <c r="M2206" s="1520">
        <v>0</v>
      </c>
      <c r="N2206" s="1520">
        <v>1</v>
      </c>
      <c r="O2206" s="1521">
        <v>1</v>
      </c>
    </row>
    <row r="2207" spans="3:15" ht="13.5">
      <c r="C2207" s="1526" t="s">
        <v>6165</v>
      </c>
      <c r="D2207" s="1523">
        <v>1</v>
      </c>
      <c r="E2207" s="1523">
        <v>1</v>
      </c>
      <c r="F2207" s="1524">
        <v>2</v>
      </c>
      <c r="G2207" s="1537" t="s">
        <v>6165</v>
      </c>
      <c r="H2207" s="1521">
        <v>0</v>
      </c>
      <c r="I2207" s="1521">
        <v>1</v>
      </c>
      <c r="J2207" s="1538">
        <v>1</v>
      </c>
      <c r="K2207" s="1525"/>
      <c r="L2207" s="1519">
        <v>13291000201</v>
      </c>
      <c r="M2207" s="1520">
        <v>1</v>
      </c>
      <c r="N2207" s="1520">
        <v>1</v>
      </c>
      <c r="O2207" s="1521">
        <v>2</v>
      </c>
    </row>
    <row r="2208" spans="3:15" ht="13.5">
      <c r="C2208" s="1526" t="s">
        <v>6166</v>
      </c>
      <c r="D2208" s="1523">
        <v>0</v>
      </c>
      <c r="E2208" s="1523">
        <v>1</v>
      </c>
      <c r="F2208" s="1524">
        <v>1</v>
      </c>
      <c r="G2208" s="1537" t="s">
        <v>6166</v>
      </c>
      <c r="H2208" s="1521">
        <v>0</v>
      </c>
      <c r="I2208" s="1521" t="s">
        <v>4096</v>
      </c>
      <c r="J2208" s="1538">
        <v>0</v>
      </c>
      <c r="K2208" s="1525"/>
      <c r="L2208" s="1519">
        <v>13291000203</v>
      </c>
      <c r="M2208" s="1520">
        <v>0</v>
      </c>
      <c r="N2208" s="1520">
        <v>1</v>
      </c>
      <c r="O2208" s="1521">
        <v>1</v>
      </c>
    </row>
    <row r="2209" spans="3:15" ht="13.5">
      <c r="C2209" s="1526" t="s">
        <v>6167</v>
      </c>
      <c r="D2209" s="1523">
        <v>0</v>
      </c>
      <c r="E2209" s="1523">
        <v>0</v>
      </c>
      <c r="F2209" s="1524">
        <v>0</v>
      </c>
      <c r="G2209" s="1537" t="s">
        <v>6167</v>
      </c>
      <c r="H2209" s="1521">
        <v>1</v>
      </c>
      <c r="I2209" s="1521">
        <v>0</v>
      </c>
      <c r="J2209" s="1538">
        <v>1</v>
      </c>
      <c r="K2209" s="1525"/>
      <c r="L2209" s="1519">
        <v>13291000204</v>
      </c>
      <c r="M2209" s="1520">
        <v>1</v>
      </c>
      <c r="N2209" s="1520">
        <v>0</v>
      </c>
      <c r="O2209" s="1521">
        <v>1</v>
      </c>
    </row>
    <row r="2210" spans="3:15" ht="13.5">
      <c r="C2210" s="1526" t="s">
        <v>6168</v>
      </c>
      <c r="D2210" s="1523">
        <v>0</v>
      </c>
      <c r="E2210" s="1523">
        <v>0</v>
      </c>
      <c r="F2210" s="1524">
        <v>0</v>
      </c>
      <c r="G2210" s="1537" t="s">
        <v>6168</v>
      </c>
      <c r="H2210" s="1521">
        <v>1</v>
      </c>
      <c r="I2210" s="1521">
        <v>0</v>
      </c>
      <c r="J2210" s="1538">
        <v>1</v>
      </c>
      <c r="K2210" s="1525"/>
      <c r="L2210" s="1519">
        <v>13291000205</v>
      </c>
      <c r="M2210" s="1520">
        <v>1</v>
      </c>
      <c r="N2210" s="1520">
        <v>0</v>
      </c>
      <c r="O2210" s="1521">
        <v>1</v>
      </c>
    </row>
    <row r="2211" spans="3:15" ht="13.5">
      <c r="C2211" s="1526" t="s">
        <v>6169</v>
      </c>
      <c r="D2211" s="1523">
        <v>0</v>
      </c>
      <c r="E2211" s="1523">
        <v>0</v>
      </c>
      <c r="F2211" s="1524">
        <v>0</v>
      </c>
      <c r="G2211" s="1537" t="s">
        <v>6169</v>
      </c>
      <c r="H2211" s="1521">
        <v>0</v>
      </c>
      <c r="I2211" s="1521">
        <v>0</v>
      </c>
      <c r="J2211" s="1538">
        <v>0</v>
      </c>
      <c r="K2211" s="1525"/>
      <c r="L2211" s="1519">
        <v>13293010100</v>
      </c>
      <c r="M2211" s="1520">
        <v>0</v>
      </c>
      <c r="N2211" s="1520">
        <v>0</v>
      </c>
      <c r="O2211" s="1521">
        <v>0</v>
      </c>
    </row>
    <row r="2212" spans="3:15" ht="13.5">
      <c r="C2212" s="1526" t="s">
        <v>6170</v>
      </c>
      <c r="D2212" s="1523">
        <v>0</v>
      </c>
      <c r="E2212" s="1523">
        <v>0</v>
      </c>
      <c r="F2212" s="1524">
        <v>0</v>
      </c>
      <c r="G2212" s="1537" t="s">
        <v>6170</v>
      </c>
      <c r="H2212" s="1521">
        <v>0</v>
      </c>
      <c r="I2212" s="1521">
        <v>0</v>
      </c>
      <c r="J2212" s="1538">
        <v>0</v>
      </c>
      <c r="K2212" s="1525"/>
      <c r="L2212" s="1519">
        <v>13293010201</v>
      </c>
      <c r="M2212" s="1520">
        <v>0</v>
      </c>
      <c r="N2212" s="1520">
        <v>0</v>
      </c>
      <c r="O2212" s="1521">
        <v>0</v>
      </c>
    </row>
    <row r="2213" spans="3:15" ht="13.5">
      <c r="C2213" s="1526" t="s">
        <v>6171</v>
      </c>
      <c r="D2213" s="1523">
        <v>0</v>
      </c>
      <c r="E2213" s="1523">
        <v>0</v>
      </c>
      <c r="F2213" s="1524">
        <v>0</v>
      </c>
      <c r="G2213" s="1537" t="s">
        <v>6171</v>
      </c>
      <c r="H2213" s="1521">
        <v>0</v>
      </c>
      <c r="I2213" s="1521">
        <v>1</v>
      </c>
      <c r="J2213" s="1538">
        <v>1</v>
      </c>
      <c r="K2213" s="1525"/>
      <c r="L2213" s="1519">
        <v>13293010202</v>
      </c>
      <c r="M2213" s="1520">
        <v>0</v>
      </c>
      <c r="N2213" s="1520">
        <v>1</v>
      </c>
      <c r="O2213" s="1521">
        <v>1</v>
      </c>
    </row>
    <row r="2214" spans="3:15" ht="13.5">
      <c r="C2214" s="1526" t="s">
        <v>6172</v>
      </c>
      <c r="D2214" s="1523">
        <v>0</v>
      </c>
      <c r="E2214" s="1523">
        <v>1</v>
      </c>
      <c r="F2214" s="1524">
        <v>1</v>
      </c>
      <c r="G2214" s="1537" t="s">
        <v>6172</v>
      </c>
      <c r="H2214" s="1521">
        <v>0</v>
      </c>
      <c r="I2214" s="1521">
        <v>0</v>
      </c>
      <c r="J2214" s="1538">
        <v>0</v>
      </c>
      <c r="K2214" s="1525"/>
      <c r="L2214" s="1519">
        <v>13293010300</v>
      </c>
      <c r="M2214" s="1520">
        <v>0</v>
      </c>
      <c r="N2214" s="1520">
        <v>1</v>
      </c>
      <c r="O2214" s="1521">
        <v>1</v>
      </c>
    </row>
    <row r="2215" spans="3:15" ht="13.5">
      <c r="C2215" s="1526" t="s">
        <v>6173</v>
      </c>
      <c r="D2215" s="1523">
        <v>0</v>
      </c>
      <c r="E2215" s="1523">
        <v>0</v>
      </c>
      <c r="F2215" s="1524">
        <v>0</v>
      </c>
      <c r="G2215" s="1537" t="s">
        <v>6173</v>
      </c>
      <c r="H2215" s="1521">
        <v>0</v>
      </c>
      <c r="I2215" s="1521">
        <v>0</v>
      </c>
      <c r="J2215" s="1538">
        <v>0</v>
      </c>
      <c r="K2215" s="1525"/>
      <c r="L2215" s="1519">
        <v>13293010400</v>
      </c>
      <c r="M2215" s="1520">
        <v>0</v>
      </c>
      <c r="N2215" s="1520">
        <v>0</v>
      </c>
      <c r="O2215" s="1521">
        <v>0</v>
      </c>
    </row>
    <row r="2216" spans="3:15" ht="13.5">
      <c r="C2216" s="1526" t="s">
        <v>6174</v>
      </c>
      <c r="D2216" s="1523">
        <v>0</v>
      </c>
      <c r="E2216" s="1523">
        <v>0</v>
      </c>
      <c r="F2216" s="1524">
        <v>0</v>
      </c>
      <c r="G2216" s="1537" t="s">
        <v>6174</v>
      </c>
      <c r="H2216" s="1521">
        <v>0</v>
      </c>
      <c r="I2216" s="1521">
        <v>0</v>
      </c>
      <c r="J2216" s="1538">
        <v>0</v>
      </c>
      <c r="K2216" s="1525"/>
      <c r="L2216" s="1519">
        <v>13293010500</v>
      </c>
      <c r="M2216" s="1520">
        <v>0</v>
      </c>
      <c r="N2216" s="1520">
        <v>0</v>
      </c>
      <c r="O2216" s="1521">
        <v>0</v>
      </c>
    </row>
    <row r="2217" spans="3:15" ht="13.5">
      <c r="C2217" s="1526" t="s">
        <v>6175</v>
      </c>
      <c r="D2217" s="1523">
        <v>0</v>
      </c>
      <c r="E2217" s="1523">
        <v>0</v>
      </c>
      <c r="F2217" s="1524">
        <v>0</v>
      </c>
      <c r="G2217" s="1537" t="s">
        <v>6175</v>
      </c>
      <c r="H2217" s="1521">
        <v>0</v>
      </c>
      <c r="I2217" s="1521">
        <v>0</v>
      </c>
      <c r="J2217" s="1538">
        <v>0</v>
      </c>
      <c r="K2217" s="1525"/>
      <c r="L2217" s="1519">
        <v>13293010600</v>
      </c>
      <c r="M2217" s="1520">
        <v>0</v>
      </c>
      <c r="N2217" s="1520">
        <v>0</v>
      </c>
      <c r="O2217" s="1521">
        <v>0</v>
      </c>
    </row>
    <row r="2218" spans="3:15" ht="13.5">
      <c r="C2218" s="1526" t="s">
        <v>6176</v>
      </c>
      <c r="D2218" s="1523">
        <v>0</v>
      </c>
      <c r="E2218" s="1523">
        <v>0</v>
      </c>
      <c r="F2218" s="1524">
        <v>0</v>
      </c>
      <c r="G2218" s="1537" t="s">
        <v>6176</v>
      </c>
      <c r="H2218" s="1521">
        <v>0</v>
      </c>
      <c r="I2218" s="1521">
        <v>0</v>
      </c>
      <c r="J2218" s="1538">
        <v>0</v>
      </c>
      <c r="K2218" s="1525"/>
      <c r="L2218" s="1519">
        <v>13295020100</v>
      </c>
      <c r="M2218" s="1520">
        <v>0</v>
      </c>
      <c r="N2218" s="1520">
        <v>0</v>
      </c>
      <c r="O2218" s="1521">
        <v>0</v>
      </c>
    </row>
    <row r="2219" spans="3:15" ht="13.5">
      <c r="C2219" s="1526" t="s">
        <v>6177</v>
      </c>
      <c r="D2219" s="1523">
        <v>0</v>
      </c>
      <c r="E2219" s="1523">
        <v>0</v>
      </c>
      <c r="F2219" s="1524">
        <v>0</v>
      </c>
      <c r="G2219" s="1537" t="s">
        <v>6177</v>
      </c>
      <c r="H2219" s="1521">
        <v>0</v>
      </c>
      <c r="I2219" s="1521">
        <v>0</v>
      </c>
      <c r="J2219" s="1538">
        <v>0</v>
      </c>
      <c r="K2219" s="1525"/>
      <c r="L2219" s="1519">
        <v>13295020200</v>
      </c>
      <c r="M2219" s="1520">
        <v>0</v>
      </c>
      <c r="N2219" s="1520">
        <v>0</v>
      </c>
      <c r="O2219" s="1521">
        <v>0</v>
      </c>
    </row>
    <row r="2220" spans="3:15" ht="13.5">
      <c r="C2220" s="1526" t="s">
        <v>6178</v>
      </c>
      <c r="D2220" s="1523">
        <v>0</v>
      </c>
      <c r="E2220" s="1523">
        <v>0</v>
      </c>
      <c r="F2220" s="1524">
        <v>0</v>
      </c>
      <c r="G2220" s="1537" t="s">
        <v>6178</v>
      </c>
      <c r="H2220" s="1521">
        <v>0</v>
      </c>
      <c r="I2220" s="1521">
        <v>0</v>
      </c>
      <c r="J2220" s="1538">
        <v>0</v>
      </c>
      <c r="K2220" s="1525"/>
      <c r="L2220" s="1519">
        <v>13295020301</v>
      </c>
      <c r="M2220" s="1520">
        <v>0</v>
      </c>
      <c r="N2220" s="1520">
        <v>0</v>
      </c>
      <c r="O2220" s="1521">
        <v>0</v>
      </c>
    </row>
    <row r="2221" spans="3:15" ht="13.5">
      <c r="C2221" s="1526" t="s">
        <v>6179</v>
      </c>
      <c r="D2221" s="1523">
        <v>0</v>
      </c>
      <c r="E2221" s="1523">
        <v>0</v>
      </c>
      <c r="F2221" s="1524">
        <v>0</v>
      </c>
      <c r="G2221" s="1537" t="s">
        <v>6179</v>
      </c>
      <c r="H2221" s="1521">
        <v>0</v>
      </c>
      <c r="I2221" s="1521">
        <v>0</v>
      </c>
      <c r="J2221" s="1538">
        <v>0</v>
      </c>
      <c r="K2221" s="1525"/>
      <c r="L2221" s="1519">
        <v>13295020302</v>
      </c>
      <c r="M2221" s="1520">
        <v>0</v>
      </c>
      <c r="N2221" s="1520">
        <v>0</v>
      </c>
      <c r="O2221" s="1521">
        <v>0</v>
      </c>
    </row>
    <row r="2222" spans="3:15" ht="13.5">
      <c r="C2222" s="1526" t="s">
        <v>6180</v>
      </c>
      <c r="D2222" s="1523">
        <v>1</v>
      </c>
      <c r="E2222" s="1523">
        <v>1</v>
      </c>
      <c r="F2222" s="1524">
        <v>2</v>
      </c>
      <c r="G2222" s="1537" t="s">
        <v>6180</v>
      </c>
      <c r="H2222" s="1521">
        <v>1</v>
      </c>
      <c r="I2222" s="1521">
        <v>1</v>
      </c>
      <c r="J2222" s="1538">
        <v>2</v>
      </c>
      <c r="K2222" s="1525"/>
      <c r="L2222" s="1519">
        <v>13295020400</v>
      </c>
      <c r="M2222" s="1520">
        <v>1</v>
      </c>
      <c r="N2222" s="1520">
        <v>1</v>
      </c>
      <c r="O2222" s="1521">
        <v>2</v>
      </c>
    </row>
    <row r="2223" spans="3:15" ht="13.5">
      <c r="C2223" s="1526" t="s">
        <v>6181</v>
      </c>
      <c r="D2223" s="1523">
        <v>1</v>
      </c>
      <c r="E2223" s="1523">
        <v>0</v>
      </c>
      <c r="F2223" s="1524">
        <v>1</v>
      </c>
      <c r="G2223" s="1537" t="s">
        <v>6181</v>
      </c>
      <c r="H2223" s="1521">
        <v>0</v>
      </c>
      <c r="I2223" s="1521">
        <v>0</v>
      </c>
      <c r="J2223" s="1538">
        <v>0</v>
      </c>
      <c r="K2223" s="1525"/>
      <c r="L2223" s="1519">
        <v>13295020501</v>
      </c>
      <c r="M2223" s="1520">
        <v>1</v>
      </c>
      <c r="N2223" s="1520">
        <v>0</v>
      </c>
      <c r="O2223" s="1521">
        <v>1</v>
      </c>
    </row>
    <row r="2224" spans="3:15" ht="13.5">
      <c r="C2224" s="1526" t="s">
        <v>6182</v>
      </c>
      <c r="D2224" s="1523">
        <v>0</v>
      </c>
      <c r="E2224" s="1523">
        <v>1</v>
      </c>
      <c r="F2224" s="1524">
        <v>1</v>
      </c>
      <c r="G2224" s="1537" t="s">
        <v>6182</v>
      </c>
      <c r="H2224" s="1521">
        <v>1</v>
      </c>
      <c r="I2224" s="1521">
        <v>1</v>
      </c>
      <c r="J2224" s="1538">
        <v>2</v>
      </c>
      <c r="K2224" s="1525"/>
      <c r="L2224" s="1519">
        <v>13295020502</v>
      </c>
      <c r="M2224" s="1520">
        <v>1</v>
      </c>
      <c r="N2224" s="1520">
        <v>1</v>
      </c>
      <c r="O2224" s="1521">
        <v>2</v>
      </c>
    </row>
    <row r="2225" spans="3:15" ht="13.5">
      <c r="C2225" s="1526" t="s">
        <v>6183</v>
      </c>
      <c r="D2225" s="1523">
        <v>0</v>
      </c>
      <c r="E2225" s="1523">
        <v>1</v>
      </c>
      <c r="F2225" s="1524">
        <v>1</v>
      </c>
      <c r="G2225" s="1537" t="s">
        <v>6183</v>
      </c>
      <c r="H2225" s="1521">
        <v>0</v>
      </c>
      <c r="I2225" s="1521">
        <v>1</v>
      </c>
      <c r="J2225" s="1538">
        <v>1</v>
      </c>
      <c r="K2225" s="1525"/>
      <c r="L2225" s="1519">
        <v>13295020601</v>
      </c>
      <c r="M2225" s="1520">
        <v>0</v>
      </c>
      <c r="N2225" s="1520">
        <v>1</v>
      </c>
      <c r="O2225" s="1521">
        <v>1</v>
      </c>
    </row>
    <row r="2226" spans="3:15" ht="13.5">
      <c r="C2226" s="1526" t="s">
        <v>6184</v>
      </c>
      <c r="D2226" s="1523">
        <v>0</v>
      </c>
      <c r="E2226" s="1523">
        <v>0</v>
      </c>
      <c r="F2226" s="1524">
        <v>0</v>
      </c>
      <c r="G2226" s="1537" t="s">
        <v>6184</v>
      </c>
      <c r="H2226" s="1521">
        <v>0</v>
      </c>
      <c r="I2226" s="1521">
        <v>0</v>
      </c>
      <c r="J2226" s="1538">
        <v>0</v>
      </c>
      <c r="K2226" s="1525"/>
      <c r="L2226" s="1519">
        <v>13295020602</v>
      </c>
      <c r="M2226" s="1520">
        <v>0</v>
      </c>
      <c r="N2226" s="1520">
        <v>0</v>
      </c>
      <c r="O2226" s="1521">
        <v>0</v>
      </c>
    </row>
    <row r="2227" spans="3:15" ht="13.5">
      <c r="C2227" s="1526" t="s">
        <v>6185</v>
      </c>
      <c r="D2227" s="1523">
        <v>0</v>
      </c>
      <c r="E2227" s="1523">
        <v>0</v>
      </c>
      <c r="F2227" s="1524">
        <v>0</v>
      </c>
      <c r="G2227" s="1537" t="s">
        <v>6185</v>
      </c>
      <c r="H2227" s="1521">
        <v>0</v>
      </c>
      <c r="I2227" s="1521">
        <v>0</v>
      </c>
      <c r="J2227" s="1538">
        <v>0</v>
      </c>
      <c r="K2227" s="1525"/>
      <c r="L2227" s="1519">
        <v>13295020700</v>
      </c>
      <c r="M2227" s="1520">
        <v>0</v>
      </c>
      <c r="N2227" s="1520">
        <v>0</v>
      </c>
      <c r="O2227" s="1521">
        <v>0</v>
      </c>
    </row>
    <row r="2228" spans="3:15" ht="13.5">
      <c r="C2228" s="1526" t="s">
        <v>6186</v>
      </c>
      <c r="D2228" s="1523">
        <v>0</v>
      </c>
      <c r="E2228" s="1523">
        <v>0</v>
      </c>
      <c r="F2228" s="1524">
        <v>0</v>
      </c>
      <c r="G2228" s="1537" t="s">
        <v>6186</v>
      </c>
      <c r="H2228" s="1521">
        <v>0</v>
      </c>
      <c r="I2228" s="1521">
        <v>0</v>
      </c>
      <c r="J2228" s="1538">
        <v>0</v>
      </c>
      <c r="K2228" s="1525"/>
      <c r="L2228" s="1519">
        <v>13295020800</v>
      </c>
      <c r="M2228" s="1520">
        <v>0</v>
      </c>
      <c r="N2228" s="1520">
        <v>0</v>
      </c>
      <c r="O2228" s="1521">
        <v>0</v>
      </c>
    </row>
    <row r="2229" spans="3:15" ht="13.5">
      <c r="C2229" s="1526" t="s">
        <v>6187</v>
      </c>
      <c r="D2229" s="1523">
        <v>0</v>
      </c>
      <c r="E2229" s="1523">
        <v>0</v>
      </c>
      <c r="F2229" s="1524">
        <v>0</v>
      </c>
      <c r="G2229" s="1537" t="s">
        <v>6187</v>
      </c>
      <c r="H2229" s="1521">
        <v>1</v>
      </c>
      <c r="I2229" s="1521">
        <v>1</v>
      </c>
      <c r="J2229" s="1538">
        <v>2</v>
      </c>
      <c r="K2229" s="1525"/>
      <c r="L2229" s="1519">
        <v>13295020901</v>
      </c>
      <c r="M2229" s="1520">
        <v>1</v>
      </c>
      <c r="N2229" s="1520">
        <v>1</v>
      </c>
      <c r="O2229" s="1521">
        <v>2</v>
      </c>
    </row>
    <row r="2230" spans="3:15" ht="13.5">
      <c r="C2230" s="1526" t="s">
        <v>6188</v>
      </c>
      <c r="D2230" s="1523">
        <v>0</v>
      </c>
      <c r="E2230" s="1523">
        <v>0</v>
      </c>
      <c r="F2230" s="1524">
        <v>0</v>
      </c>
      <c r="G2230" s="1537" t="s">
        <v>6188</v>
      </c>
      <c r="H2230" s="1521">
        <v>0</v>
      </c>
      <c r="I2230" s="1521">
        <v>1</v>
      </c>
      <c r="J2230" s="1538">
        <v>1</v>
      </c>
      <c r="K2230" s="1525"/>
      <c r="L2230" s="1519">
        <v>13295020902</v>
      </c>
      <c r="M2230" s="1520">
        <v>0</v>
      </c>
      <c r="N2230" s="1520">
        <v>1</v>
      </c>
      <c r="O2230" s="1521">
        <v>1</v>
      </c>
    </row>
    <row r="2231" spans="3:15" ht="13.5">
      <c r="C2231" s="1526" t="s">
        <v>6189</v>
      </c>
      <c r="D2231" s="1523">
        <v>1</v>
      </c>
      <c r="E2231" s="1523">
        <v>1</v>
      </c>
      <c r="F2231" s="1524">
        <v>2</v>
      </c>
      <c r="G2231" s="1537" t="s">
        <v>6189</v>
      </c>
      <c r="H2231" s="1521">
        <v>1</v>
      </c>
      <c r="I2231" s="1521">
        <v>1</v>
      </c>
      <c r="J2231" s="1538">
        <v>2</v>
      </c>
      <c r="K2231" s="1525"/>
      <c r="L2231" s="1519">
        <v>13297110100</v>
      </c>
      <c r="M2231" s="1520">
        <v>1</v>
      </c>
      <c r="N2231" s="1520">
        <v>1</v>
      </c>
      <c r="O2231" s="1521">
        <v>2</v>
      </c>
    </row>
    <row r="2232" spans="3:15" ht="13.5">
      <c r="C2232" s="1526" t="s">
        <v>6190</v>
      </c>
      <c r="D2232" s="1523">
        <v>1</v>
      </c>
      <c r="E2232" s="1523">
        <v>1</v>
      </c>
      <c r="F2232" s="1524">
        <v>2</v>
      </c>
      <c r="G2232" s="1537" t="s">
        <v>6190</v>
      </c>
      <c r="H2232" s="1521">
        <v>1</v>
      </c>
      <c r="I2232" s="1521">
        <v>0</v>
      </c>
      <c r="J2232" s="1538">
        <v>1</v>
      </c>
      <c r="K2232" s="1525"/>
      <c r="L2232" s="1519">
        <v>13297110200</v>
      </c>
      <c r="M2232" s="1520">
        <v>1</v>
      </c>
      <c r="N2232" s="1520">
        <v>1</v>
      </c>
      <c r="O2232" s="1521">
        <v>2</v>
      </c>
    </row>
    <row r="2233" spans="3:15" ht="13.5">
      <c r="C2233" s="1526" t="s">
        <v>6191</v>
      </c>
      <c r="D2233" s="1523">
        <v>0</v>
      </c>
      <c r="E2233" s="1523">
        <v>0</v>
      </c>
      <c r="F2233" s="1524">
        <v>0</v>
      </c>
      <c r="G2233" s="1537" t="s">
        <v>6191</v>
      </c>
      <c r="H2233" s="1521">
        <v>0</v>
      </c>
      <c r="I2233" s="1521">
        <v>0</v>
      </c>
      <c r="J2233" s="1538">
        <v>0</v>
      </c>
      <c r="K2233" s="1525"/>
      <c r="L2233" s="1519">
        <v>13297110300</v>
      </c>
      <c r="M2233" s="1520">
        <v>0</v>
      </c>
      <c r="N2233" s="1520">
        <v>0</v>
      </c>
      <c r="O2233" s="1521">
        <v>0</v>
      </c>
    </row>
    <row r="2234" spans="3:15" ht="13.5">
      <c r="C2234" s="1526" t="s">
        <v>6192</v>
      </c>
      <c r="D2234" s="1523">
        <v>0</v>
      </c>
      <c r="E2234" s="1523">
        <v>0</v>
      </c>
      <c r="F2234" s="1524">
        <v>0</v>
      </c>
      <c r="G2234" s="1537" t="s">
        <v>6192</v>
      </c>
      <c r="H2234" s="1521">
        <v>0</v>
      </c>
      <c r="I2234" s="1521">
        <v>0</v>
      </c>
      <c r="J2234" s="1538">
        <v>0</v>
      </c>
      <c r="K2234" s="1525"/>
      <c r="L2234" s="1519">
        <v>13297110400</v>
      </c>
      <c r="M2234" s="1520">
        <v>0</v>
      </c>
      <c r="N2234" s="1520">
        <v>0</v>
      </c>
      <c r="O2234" s="1521">
        <v>0</v>
      </c>
    </row>
    <row r="2235" spans="3:15" ht="13.5">
      <c r="C2235" s="1526" t="s">
        <v>6193</v>
      </c>
      <c r="D2235" s="1523">
        <v>1</v>
      </c>
      <c r="E2235" s="1523">
        <v>1</v>
      </c>
      <c r="F2235" s="1524">
        <v>2</v>
      </c>
      <c r="G2235" s="1537" t="s">
        <v>6193</v>
      </c>
      <c r="H2235" s="1521">
        <v>1</v>
      </c>
      <c r="I2235" s="1521">
        <v>1</v>
      </c>
      <c r="J2235" s="1538">
        <v>2</v>
      </c>
      <c r="K2235" s="1525"/>
      <c r="L2235" s="1519">
        <v>13297110503</v>
      </c>
      <c r="M2235" s="1520">
        <v>1</v>
      </c>
      <c r="N2235" s="1520">
        <v>1</v>
      </c>
      <c r="O2235" s="1521">
        <v>2</v>
      </c>
    </row>
    <row r="2236" spans="3:15" ht="13.5">
      <c r="C2236" s="1526" t="s">
        <v>6194</v>
      </c>
      <c r="D2236" s="1523">
        <v>1</v>
      </c>
      <c r="E2236" s="1523">
        <v>1</v>
      </c>
      <c r="F2236" s="1524">
        <v>2</v>
      </c>
      <c r="G2236" s="1537" t="s">
        <v>6194</v>
      </c>
      <c r="H2236" s="1521">
        <v>1</v>
      </c>
      <c r="I2236" s="1521">
        <v>1</v>
      </c>
      <c r="J2236" s="1538">
        <v>2</v>
      </c>
      <c r="K2236" s="1525"/>
      <c r="L2236" s="1519">
        <v>13297110504</v>
      </c>
      <c r="M2236" s="1520">
        <v>1</v>
      </c>
      <c r="N2236" s="1520">
        <v>1</v>
      </c>
      <c r="O2236" s="1521">
        <v>2</v>
      </c>
    </row>
    <row r="2237" spans="3:15" ht="13.5">
      <c r="C2237" s="1526" t="s">
        <v>6195</v>
      </c>
      <c r="D2237" s="1523">
        <v>1</v>
      </c>
      <c r="E2237" s="1523">
        <v>1</v>
      </c>
      <c r="F2237" s="1524">
        <v>2</v>
      </c>
      <c r="G2237" s="1537" t="s">
        <v>6195</v>
      </c>
      <c r="H2237" s="1521">
        <v>1</v>
      </c>
      <c r="I2237" s="1521">
        <v>0</v>
      </c>
      <c r="J2237" s="1538">
        <v>1</v>
      </c>
      <c r="K2237" s="1525"/>
      <c r="L2237" s="1519">
        <v>13297110505</v>
      </c>
      <c r="M2237" s="1520">
        <v>1</v>
      </c>
      <c r="N2237" s="1520">
        <v>1</v>
      </c>
      <c r="O2237" s="1521">
        <v>2</v>
      </c>
    </row>
    <row r="2238" spans="3:15" ht="13.5">
      <c r="C2238" s="1526" t="s">
        <v>6196</v>
      </c>
      <c r="D2238" s="1523">
        <v>1</v>
      </c>
      <c r="E2238" s="1523">
        <v>1</v>
      </c>
      <c r="F2238" s="1524">
        <v>2</v>
      </c>
      <c r="G2238" s="1537" t="s">
        <v>6196</v>
      </c>
      <c r="H2238" s="1521">
        <v>1</v>
      </c>
      <c r="I2238" s="1521">
        <v>1</v>
      </c>
      <c r="J2238" s="1538">
        <v>2</v>
      </c>
      <c r="K2238" s="1525"/>
      <c r="L2238" s="1519">
        <v>13297110506</v>
      </c>
      <c r="M2238" s="1520">
        <v>1</v>
      </c>
      <c r="N2238" s="1520">
        <v>1</v>
      </c>
      <c r="O2238" s="1521">
        <v>2</v>
      </c>
    </row>
    <row r="2239" spans="3:15" ht="13.5">
      <c r="C2239" s="1526" t="s">
        <v>6197</v>
      </c>
      <c r="D2239" s="1523">
        <v>1</v>
      </c>
      <c r="E2239" s="1523">
        <v>1</v>
      </c>
      <c r="F2239" s="1524">
        <v>2</v>
      </c>
      <c r="G2239" s="1537" t="s">
        <v>6197</v>
      </c>
      <c r="H2239" s="1521">
        <v>1</v>
      </c>
      <c r="I2239" s="1521">
        <v>1</v>
      </c>
      <c r="J2239" s="1538">
        <v>2</v>
      </c>
      <c r="K2239" s="1525"/>
      <c r="L2239" s="1519">
        <v>13297110507</v>
      </c>
      <c r="M2239" s="1520">
        <v>1</v>
      </c>
      <c r="N2239" s="1520">
        <v>1</v>
      </c>
      <c r="O2239" s="1521">
        <v>2</v>
      </c>
    </row>
    <row r="2240" spans="3:15" ht="13.5">
      <c r="C2240" s="1526" t="s">
        <v>6198</v>
      </c>
      <c r="D2240" s="1523">
        <v>1</v>
      </c>
      <c r="E2240" s="1523">
        <v>1</v>
      </c>
      <c r="F2240" s="1524">
        <v>2</v>
      </c>
      <c r="G2240" s="1537" t="s">
        <v>6198</v>
      </c>
      <c r="H2240" s="1521">
        <v>0</v>
      </c>
      <c r="I2240" s="1521">
        <v>1</v>
      </c>
      <c r="J2240" s="1538">
        <v>1</v>
      </c>
      <c r="K2240" s="1525"/>
      <c r="L2240" s="1519">
        <v>13297110508</v>
      </c>
      <c r="M2240" s="1520">
        <v>1</v>
      </c>
      <c r="N2240" s="1520">
        <v>1</v>
      </c>
      <c r="O2240" s="1521">
        <v>2</v>
      </c>
    </row>
    <row r="2241" spans="3:15" ht="13.5">
      <c r="C2241" s="1526" t="s">
        <v>6199</v>
      </c>
      <c r="D2241" s="1523">
        <v>1</v>
      </c>
      <c r="E2241" s="1523">
        <v>1</v>
      </c>
      <c r="F2241" s="1524">
        <v>2</v>
      </c>
      <c r="G2241" s="1537" t="s">
        <v>6199</v>
      </c>
      <c r="H2241" s="1521">
        <v>1</v>
      </c>
      <c r="I2241" s="1521">
        <v>1</v>
      </c>
      <c r="J2241" s="1538">
        <v>2</v>
      </c>
      <c r="K2241" s="1525"/>
      <c r="L2241" s="1519">
        <v>13297110601</v>
      </c>
      <c r="M2241" s="1520">
        <v>1</v>
      </c>
      <c r="N2241" s="1520">
        <v>1</v>
      </c>
      <c r="O2241" s="1521">
        <v>2</v>
      </c>
    </row>
    <row r="2242" spans="3:15" ht="13.5">
      <c r="C2242" s="1526" t="s">
        <v>6200</v>
      </c>
      <c r="D2242" s="1523">
        <v>1</v>
      </c>
      <c r="E2242" s="1523">
        <v>1</v>
      </c>
      <c r="F2242" s="1524">
        <v>2</v>
      </c>
      <c r="G2242" s="1537" t="s">
        <v>6200</v>
      </c>
      <c r="H2242" s="1521">
        <v>1</v>
      </c>
      <c r="I2242" s="1521">
        <v>1</v>
      </c>
      <c r="J2242" s="1538">
        <v>2</v>
      </c>
      <c r="K2242" s="1525"/>
      <c r="L2242" s="1519">
        <v>13297110602</v>
      </c>
      <c r="M2242" s="1520">
        <v>1</v>
      </c>
      <c r="N2242" s="1520">
        <v>1</v>
      </c>
      <c r="O2242" s="1521">
        <v>2</v>
      </c>
    </row>
    <row r="2243" spans="3:15" ht="13.5">
      <c r="C2243" s="1526" t="s">
        <v>6201</v>
      </c>
      <c r="D2243" s="1523">
        <v>0</v>
      </c>
      <c r="E2243" s="1523">
        <v>1</v>
      </c>
      <c r="F2243" s="1524">
        <v>1</v>
      </c>
      <c r="G2243" s="1537" t="s">
        <v>6201</v>
      </c>
      <c r="H2243" s="1521">
        <v>0</v>
      </c>
      <c r="I2243" s="1521">
        <v>0</v>
      </c>
      <c r="J2243" s="1538">
        <v>0</v>
      </c>
      <c r="K2243" s="1525"/>
      <c r="L2243" s="1519">
        <v>13297110603</v>
      </c>
      <c r="M2243" s="1520">
        <v>0</v>
      </c>
      <c r="N2243" s="1520">
        <v>1</v>
      </c>
      <c r="O2243" s="1521">
        <v>1</v>
      </c>
    </row>
    <row r="2244" spans="3:15" ht="13.5">
      <c r="C2244" s="1526" t="s">
        <v>6202</v>
      </c>
      <c r="D2244" s="1523">
        <v>0</v>
      </c>
      <c r="E2244" s="1523">
        <v>0</v>
      </c>
      <c r="F2244" s="1524">
        <v>0</v>
      </c>
      <c r="G2244" s="1537" t="s">
        <v>6202</v>
      </c>
      <c r="H2244" s="1521">
        <v>0</v>
      </c>
      <c r="I2244" s="1521">
        <v>0</v>
      </c>
      <c r="J2244" s="1538">
        <v>0</v>
      </c>
      <c r="K2244" s="1525"/>
      <c r="L2244" s="1519">
        <v>13297110700</v>
      </c>
      <c r="M2244" s="1520">
        <v>0</v>
      </c>
      <c r="N2244" s="1520">
        <v>0</v>
      </c>
      <c r="O2244" s="1521">
        <v>0</v>
      </c>
    </row>
    <row r="2245" spans="3:15" ht="13.5">
      <c r="C2245" s="1526" t="s">
        <v>6203</v>
      </c>
      <c r="D2245" s="1523">
        <v>1</v>
      </c>
      <c r="E2245" s="1523">
        <v>0</v>
      </c>
      <c r="F2245" s="1524">
        <v>1</v>
      </c>
      <c r="G2245" s="1537" t="s">
        <v>6203</v>
      </c>
      <c r="H2245" s="1521">
        <v>1</v>
      </c>
      <c r="I2245" s="1521">
        <v>0</v>
      </c>
      <c r="J2245" s="1538">
        <v>1</v>
      </c>
      <c r="K2245" s="1525"/>
      <c r="L2245" s="1519">
        <v>13297110800</v>
      </c>
      <c r="M2245" s="1520">
        <v>1</v>
      </c>
      <c r="N2245" s="1520">
        <v>0</v>
      </c>
      <c r="O2245" s="1521">
        <v>1</v>
      </c>
    </row>
    <row r="2246" spans="3:15" ht="13.5">
      <c r="C2246" s="1526" t="s">
        <v>6204</v>
      </c>
      <c r="D2246" s="1523">
        <v>1</v>
      </c>
      <c r="E2246" s="1523">
        <v>0</v>
      </c>
      <c r="F2246" s="1524">
        <v>1</v>
      </c>
      <c r="G2246" s="1537" t="s">
        <v>6204</v>
      </c>
      <c r="H2246" s="1521">
        <v>0</v>
      </c>
      <c r="I2246" s="1521">
        <v>0</v>
      </c>
      <c r="J2246" s="1538">
        <v>0</v>
      </c>
      <c r="K2246" s="1525"/>
      <c r="L2246" s="1519">
        <v>13299950100</v>
      </c>
      <c r="M2246" s="1520">
        <v>1</v>
      </c>
      <c r="N2246" s="1520">
        <v>0</v>
      </c>
      <c r="O2246" s="1521">
        <v>1</v>
      </c>
    </row>
    <row r="2247" spans="3:15" ht="13.5">
      <c r="C2247" s="1526" t="s">
        <v>6205</v>
      </c>
      <c r="D2247" s="1523">
        <v>0</v>
      </c>
      <c r="E2247" s="1523">
        <v>0</v>
      </c>
      <c r="F2247" s="1524">
        <v>0</v>
      </c>
      <c r="G2247" s="1537" t="s">
        <v>6205</v>
      </c>
      <c r="H2247" s="1521">
        <v>0</v>
      </c>
      <c r="I2247" s="1521">
        <v>0</v>
      </c>
      <c r="J2247" s="1538">
        <v>0</v>
      </c>
      <c r="K2247" s="1525"/>
      <c r="L2247" s="1519">
        <v>13299950200</v>
      </c>
      <c r="M2247" s="1520">
        <v>0</v>
      </c>
      <c r="N2247" s="1520">
        <v>0</v>
      </c>
      <c r="O2247" s="1521">
        <v>0</v>
      </c>
    </row>
    <row r="2248" spans="3:15" ht="13.5">
      <c r="C2248" s="1526" t="s">
        <v>6206</v>
      </c>
      <c r="D2248" s="1523">
        <v>0</v>
      </c>
      <c r="E2248" s="1523">
        <v>0</v>
      </c>
      <c r="F2248" s="1524">
        <v>0</v>
      </c>
      <c r="G2248" s="1537" t="s">
        <v>6206</v>
      </c>
      <c r="H2248" s="1521">
        <v>0</v>
      </c>
      <c r="I2248" s="1521">
        <v>0</v>
      </c>
      <c r="J2248" s="1538">
        <v>0</v>
      </c>
      <c r="K2248" s="1525"/>
      <c r="L2248" s="1519">
        <v>13299950300</v>
      </c>
      <c r="M2248" s="1520">
        <v>0</v>
      </c>
      <c r="N2248" s="1520">
        <v>0</v>
      </c>
      <c r="O2248" s="1521">
        <v>0</v>
      </c>
    </row>
    <row r="2249" spans="3:15" ht="13.5">
      <c r="C2249" s="1526" t="s">
        <v>6207</v>
      </c>
      <c r="D2249" s="1523">
        <v>0</v>
      </c>
      <c r="E2249" s="1523">
        <v>0</v>
      </c>
      <c r="F2249" s="1524">
        <v>0</v>
      </c>
      <c r="G2249" s="1537" t="s">
        <v>6207</v>
      </c>
      <c r="H2249" s="1521">
        <v>0</v>
      </c>
      <c r="I2249" s="1521">
        <v>0</v>
      </c>
      <c r="J2249" s="1538">
        <v>0</v>
      </c>
      <c r="K2249" s="1525"/>
      <c r="L2249" s="1519">
        <v>13299950400</v>
      </c>
      <c r="M2249" s="1520">
        <v>0</v>
      </c>
      <c r="N2249" s="1520">
        <v>0</v>
      </c>
      <c r="O2249" s="1521">
        <v>0</v>
      </c>
    </row>
    <row r="2250" spans="3:15" ht="13.5">
      <c r="C2250" s="1526" t="s">
        <v>6208</v>
      </c>
      <c r="D2250" s="1523">
        <v>1</v>
      </c>
      <c r="E2250" s="1523">
        <v>0</v>
      </c>
      <c r="F2250" s="1524">
        <v>1</v>
      </c>
      <c r="G2250" s="1537" t="s">
        <v>6208</v>
      </c>
      <c r="H2250" s="1521">
        <v>1</v>
      </c>
      <c r="I2250" s="1521">
        <v>0</v>
      </c>
      <c r="J2250" s="1538">
        <v>1</v>
      </c>
      <c r="K2250" s="1525"/>
      <c r="L2250" s="1519">
        <v>13299950500</v>
      </c>
      <c r="M2250" s="1520">
        <v>1</v>
      </c>
      <c r="N2250" s="1520">
        <v>0</v>
      </c>
      <c r="O2250" s="1521">
        <v>1</v>
      </c>
    </row>
    <row r="2251" spans="3:15" ht="13.5">
      <c r="C2251" s="1526" t="s">
        <v>6209</v>
      </c>
      <c r="D2251" s="1523">
        <v>1</v>
      </c>
      <c r="E2251" s="1523">
        <v>0</v>
      </c>
      <c r="F2251" s="1524">
        <v>1</v>
      </c>
      <c r="G2251" s="1537" t="s">
        <v>6209</v>
      </c>
      <c r="H2251" s="1521">
        <v>1</v>
      </c>
      <c r="I2251" s="1521">
        <v>0</v>
      </c>
      <c r="J2251" s="1538">
        <v>1</v>
      </c>
      <c r="K2251" s="1525"/>
      <c r="L2251" s="1519">
        <v>13299950600</v>
      </c>
      <c r="M2251" s="1520">
        <v>1</v>
      </c>
      <c r="N2251" s="1520">
        <v>0</v>
      </c>
      <c r="O2251" s="1521">
        <v>1</v>
      </c>
    </row>
    <row r="2252" spans="3:15" ht="13.5">
      <c r="C2252" s="1526" t="s">
        <v>6210</v>
      </c>
      <c r="D2252" s="1523">
        <v>0</v>
      </c>
      <c r="E2252" s="1523">
        <v>0</v>
      </c>
      <c r="F2252" s="1524">
        <v>0</v>
      </c>
      <c r="G2252" s="1537" t="s">
        <v>6210</v>
      </c>
      <c r="H2252" s="1521">
        <v>0</v>
      </c>
      <c r="I2252" s="1521">
        <v>0</v>
      </c>
      <c r="J2252" s="1538">
        <v>0</v>
      </c>
      <c r="K2252" s="1525"/>
      <c r="L2252" s="1519">
        <v>13299950700</v>
      </c>
      <c r="M2252" s="1520">
        <v>0</v>
      </c>
      <c r="N2252" s="1520">
        <v>0</v>
      </c>
      <c r="O2252" s="1521">
        <v>0</v>
      </c>
    </row>
    <row r="2253" spans="3:15" ht="13.5">
      <c r="C2253" s="1526" t="s">
        <v>6211</v>
      </c>
      <c r="D2253" s="1523">
        <v>0</v>
      </c>
      <c r="E2253" s="1523">
        <v>0</v>
      </c>
      <c r="F2253" s="1524">
        <v>0</v>
      </c>
      <c r="G2253" s="1537" t="s">
        <v>6211</v>
      </c>
      <c r="H2253" s="1521">
        <v>0</v>
      </c>
      <c r="I2253" s="1521">
        <v>0</v>
      </c>
      <c r="J2253" s="1538">
        <v>0</v>
      </c>
      <c r="K2253" s="1525"/>
      <c r="L2253" s="1519">
        <v>13299950800</v>
      </c>
      <c r="M2253" s="1520">
        <v>0</v>
      </c>
      <c r="N2253" s="1520">
        <v>0</v>
      </c>
      <c r="O2253" s="1521">
        <v>0</v>
      </c>
    </row>
    <row r="2254" spans="3:15" ht="13.5">
      <c r="C2254" s="1526" t="s">
        <v>6212</v>
      </c>
      <c r="D2254" s="1523">
        <v>0</v>
      </c>
      <c r="E2254" s="1523">
        <v>0</v>
      </c>
      <c r="F2254" s="1524">
        <v>0</v>
      </c>
      <c r="G2254" s="1537" t="s">
        <v>6212</v>
      </c>
      <c r="H2254" s="1521">
        <v>0</v>
      </c>
      <c r="I2254" s="1521">
        <v>0</v>
      </c>
      <c r="J2254" s="1538">
        <v>0</v>
      </c>
      <c r="K2254" s="1525"/>
      <c r="L2254" s="1519">
        <v>13299950900</v>
      </c>
      <c r="M2254" s="1520">
        <v>0</v>
      </c>
      <c r="N2254" s="1520">
        <v>0</v>
      </c>
      <c r="O2254" s="1521">
        <v>0</v>
      </c>
    </row>
    <row r="2255" spans="3:15" ht="13.5">
      <c r="C2255" s="1526" t="s">
        <v>6213</v>
      </c>
      <c r="D2255" s="1523">
        <v>0</v>
      </c>
      <c r="E2255" s="1523">
        <v>0</v>
      </c>
      <c r="F2255" s="1524">
        <v>0</v>
      </c>
      <c r="G2255" s="1537" t="s">
        <v>6213</v>
      </c>
      <c r="H2255" s="1521">
        <v>0</v>
      </c>
      <c r="I2255" s="1521">
        <v>0</v>
      </c>
      <c r="J2255" s="1538">
        <v>0</v>
      </c>
      <c r="K2255" s="1525"/>
      <c r="L2255" s="1519">
        <v>13301970400</v>
      </c>
      <c r="M2255" s="1520">
        <v>0</v>
      </c>
      <c r="N2255" s="1520">
        <v>0</v>
      </c>
      <c r="O2255" s="1521">
        <v>0</v>
      </c>
    </row>
    <row r="2256" spans="3:15" ht="13.5">
      <c r="C2256" s="1526" t="s">
        <v>6214</v>
      </c>
      <c r="D2256" s="1523">
        <v>0</v>
      </c>
      <c r="E2256" s="1523">
        <v>0</v>
      </c>
      <c r="F2256" s="1524">
        <v>0</v>
      </c>
      <c r="G2256" s="1537" t="s">
        <v>6214</v>
      </c>
      <c r="H2256" s="1521">
        <v>0</v>
      </c>
      <c r="I2256" s="1521">
        <v>0</v>
      </c>
      <c r="J2256" s="1538">
        <v>0</v>
      </c>
      <c r="K2256" s="1525"/>
      <c r="L2256" s="1519">
        <v>13301970500</v>
      </c>
      <c r="M2256" s="1520">
        <v>0</v>
      </c>
      <c r="N2256" s="1520">
        <v>0</v>
      </c>
      <c r="O2256" s="1521">
        <v>0</v>
      </c>
    </row>
    <row r="2257" spans="3:15" ht="13.5">
      <c r="C2257" s="1526" t="s">
        <v>6215</v>
      </c>
      <c r="D2257" s="1523">
        <v>0</v>
      </c>
      <c r="E2257" s="1523">
        <v>0</v>
      </c>
      <c r="F2257" s="1524">
        <v>0</v>
      </c>
      <c r="G2257" s="1537" t="s">
        <v>6215</v>
      </c>
      <c r="H2257" s="1521">
        <v>0</v>
      </c>
      <c r="I2257" s="1521">
        <v>1</v>
      </c>
      <c r="J2257" s="1538">
        <v>1</v>
      </c>
      <c r="K2257" s="1525"/>
      <c r="L2257" s="1519">
        <v>13303950100</v>
      </c>
      <c r="M2257" s="1520">
        <v>0</v>
      </c>
      <c r="N2257" s="1520">
        <v>1</v>
      </c>
      <c r="O2257" s="1521">
        <v>1</v>
      </c>
    </row>
    <row r="2258" spans="3:15" ht="13.5">
      <c r="C2258" s="1526" t="s">
        <v>6216</v>
      </c>
      <c r="D2258" s="1523">
        <v>0</v>
      </c>
      <c r="E2258" s="1523">
        <v>0</v>
      </c>
      <c r="F2258" s="1524">
        <v>0</v>
      </c>
      <c r="G2258" s="1537" t="s">
        <v>6216</v>
      </c>
      <c r="H2258" s="1521">
        <v>0</v>
      </c>
      <c r="I2258" s="1521">
        <v>0</v>
      </c>
      <c r="J2258" s="1538">
        <v>0</v>
      </c>
      <c r="K2258" s="1525"/>
      <c r="L2258" s="1519">
        <v>13303950300</v>
      </c>
      <c r="M2258" s="1520">
        <v>0</v>
      </c>
      <c r="N2258" s="1520">
        <v>0</v>
      </c>
      <c r="O2258" s="1521">
        <v>0</v>
      </c>
    </row>
    <row r="2259" spans="3:15" ht="13.5">
      <c r="C2259" s="1526" t="s">
        <v>6217</v>
      </c>
      <c r="D2259" s="1523">
        <v>0</v>
      </c>
      <c r="E2259" s="1523">
        <v>0</v>
      </c>
      <c r="F2259" s="1524">
        <v>0</v>
      </c>
      <c r="G2259" s="1537" t="s">
        <v>6217</v>
      </c>
      <c r="H2259" s="1521">
        <v>0</v>
      </c>
      <c r="I2259" s="1521">
        <v>0</v>
      </c>
      <c r="J2259" s="1538">
        <v>0</v>
      </c>
      <c r="K2259" s="1525"/>
      <c r="L2259" s="1519">
        <v>13303950400</v>
      </c>
      <c r="M2259" s="1520">
        <v>0</v>
      </c>
      <c r="N2259" s="1520">
        <v>0</v>
      </c>
      <c r="O2259" s="1521">
        <v>0</v>
      </c>
    </row>
    <row r="2260" spans="3:15" ht="13.5">
      <c r="C2260" s="1526" t="s">
        <v>6218</v>
      </c>
      <c r="D2260" s="1523">
        <v>0</v>
      </c>
      <c r="E2260" s="1523">
        <v>0</v>
      </c>
      <c r="F2260" s="1524">
        <v>0</v>
      </c>
      <c r="G2260" s="1537" t="s">
        <v>6218</v>
      </c>
      <c r="H2260" s="1521">
        <v>0</v>
      </c>
      <c r="I2260" s="1521">
        <v>0</v>
      </c>
      <c r="J2260" s="1538">
        <v>0</v>
      </c>
      <c r="K2260" s="1525"/>
      <c r="L2260" s="1519">
        <v>13303950500</v>
      </c>
      <c r="M2260" s="1520">
        <v>0</v>
      </c>
      <c r="N2260" s="1520">
        <v>0</v>
      </c>
      <c r="O2260" s="1521">
        <v>0</v>
      </c>
    </row>
    <row r="2261" spans="3:15" ht="13.5">
      <c r="C2261" s="1526" t="s">
        <v>6219</v>
      </c>
      <c r="D2261" s="1523">
        <v>0</v>
      </c>
      <c r="E2261" s="1523">
        <v>0</v>
      </c>
      <c r="F2261" s="1524">
        <v>0</v>
      </c>
      <c r="G2261" s="1537" t="s">
        <v>6219</v>
      </c>
      <c r="H2261" s="1521">
        <v>0</v>
      </c>
      <c r="I2261" s="1521">
        <v>1</v>
      </c>
      <c r="J2261" s="1538">
        <v>1</v>
      </c>
      <c r="K2261" s="1525"/>
      <c r="L2261" s="1519">
        <v>13303950700</v>
      </c>
      <c r="M2261" s="1520">
        <v>0</v>
      </c>
      <c r="N2261" s="1520">
        <v>1</v>
      </c>
      <c r="O2261" s="1521">
        <v>1</v>
      </c>
    </row>
    <row r="2262" spans="3:15" ht="13.5">
      <c r="C2262" s="1526" t="s">
        <v>6220</v>
      </c>
      <c r="D2262" s="1523">
        <v>0</v>
      </c>
      <c r="E2262" s="1523">
        <v>0</v>
      </c>
      <c r="F2262" s="1524">
        <v>0</v>
      </c>
      <c r="G2262" s="1537" t="s">
        <v>6220</v>
      </c>
      <c r="H2262" s="1521">
        <v>0</v>
      </c>
      <c r="I2262" s="1521">
        <v>0</v>
      </c>
      <c r="J2262" s="1538">
        <v>0</v>
      </c>
      <c r="K2262" s="1525"/>
      <c r="L2262" s="1519">
        <v>13305970100</v>
      </c>
      <c r="M2262" s="1520">
        <v>0</v>
      </c>
      <c r="N2262" s="1520">
        <v>0</v>
      </c>
      <c r="O2262" s="1521">
        <v>0</v>
      </c>
    </row>
    <row r="2263" spans="3:15" ht="13.5">
      <c r="C2263" s="1526" t="s">
        <v>6221</v>
      </c>
      <c r="D2263" s="1523">
        <v>0</v>
      </c>
      <c r="E2263" s="1523">
        <v>0</v>
      </c>
      <c r="F2263" s="1524">
        <v>0</v>
      </c>
      <c r="G2263" s="1537" t="s">
        <v>6221</v>
      </c>
      <c r="H2263" s="1521">
        <v>0</v>
      </c>
      <c r="I2263" s="1521">
        <v>0</v>
      </c>
      <c r="J2263" s="1538">
        <v>0</v>
      </c>
      <c r="K2263" s="1525"/>
      <c r="L2263" s="1519">
        <v>13305970200</v>
      </c>
      <c r="M2263" s="1520">
        <v>0</v>
      </c>
      <c r="N2263" s="1520">
        <v>0</v>
      </c>
      <c r="O2263" s="1521">
        <v>0</v>
      </c>
    </row>
    <row r="2264" spans="3:15" ht="13.5">
      <c r="C2264" s="1526" t="s">
        <v>6222</v>
      </c>
      <c r="D2264" s="1523">
        <v>0</v>
      </c>
      <c r="E2264" s="1523">
        <v>0</v>
      </c>
      <c r="F2264" s="1524">
        <v>0</v>
      </c>
      <c r="G2264" s="1537" t="s">
        <v>6222</v>
      </c>
      <c r="H2264" s="1521">
        <v>0</v>
      </c>
      <c r="I2264" s="1521">
        <v>0</v>
      </c>
      <c r="J2264" s="1538">
        <v>0</v>
      </c>
      <c r="K2264" s="1525"/>
      <c r="L2264" s="1519">
        <v>13305970300</v>
      </c>
      <c r="M2264" s="1520">
        <v>0</v>
      </c>
      <c r="N2264" s="1520">
        <v>0</v>
      </c>
      <c r="O2264" s="1521">
        <v>0</v>
      </c>
    </row>
    <row r="2265" spans="3:15" ht="13.5">
      <c r="C2265" s="1526" t="s">
        <v>6223</v>
      </c>
      <c r="D2265" s="1523">
        <v>0</v>
      </c>
      <c r="E2265" s="1523">
        <v>0</v>
      </c>
      <c r="F2265" s="1524">
        <v>0</v>
      </c>
      <c r="G2265" s="1537" t="s">
        <v>6223</v>
      </c>
      <c r="H2265" s="1521">
        <v>0</v>
      </c>
      <c r="I2265" s="1521">
        <v>0</v>
      </c>
      <c r="J2265" s="1538">
        <v>0</v>
      </c>
      <c r="K2265" s="1525"/>
      <c r="L2265" s="1519">
        <v>13305970400</v>
      </c>
      <c r="M2265" s="1520">
        <v>0</v>
      </c>
      <c r="N2265" s="1520">
        <v>0</v>
      </c>
      <c r="O2265" s="1521">
        <v>0</v>
      </c>
    </row>
    <row r="2266" spans="3:15" ht="13.5">
      <c r="C2266" s="1526" t="s">
        <v>6224</v>
      </c>
      <c r="D2266" s="1523">
        <v>0</v>
      </c>
      <c r="E2266" s="1523">
        <v>0</v>
      </c>
      <c r="F2266" s="1524">
        <v>0</v>
      </c>
      <c r="G2266" s="1537" t="s">
        <v>6224</v>
      </c>
      <c r="H2266" s="1521">
        <v>0</v>
      </c>
      <c r="I2266" s="1521">
        <v>0</v>
      </c>
      <c r="J2266" s="1538">
        <v>0</v>
      </c>
      <c r="K2266" s="1525"/>
      <c r="L2266" s="1519">
        <v>13305970500</v>
      </c>
      <c r="M2266" s="1520">
        <v>0</v>
      </c>
      <c r="N2266" s="1520">
        <v>0</v>
      </c>
      <c r="O2266" s="1521">
        <v>0</v>
      </c>
    </row>
    <row r="2267" spans="3:15" ht="13.5">
      <c r="C2267" s="1526" t="s">
        <v>6225</v>
      </c>
      <c r="D2267" s="1523">
        <v>0</v>
      </c>
      <c r="E2267" s="1523">
        <v>0</v>
      </c>
      <c r="F2267" s="1524">
        <v>0</v>
      </c>
      <c r="G2267" s="1537" t="s">
        <v>6225</v>
      </c>
      <c r="H2267" s="1521">
        <v>0</v>
      </c>
      <c r="I2267" s="1521">
        <v>0</v>
      </c>
      <c r="J2267" s="1538">
        <v>0</v>
      </c>
      <c r="K2267" s="1525"/>
      <c r="L2267" s="1519">
        <v>13305970600</v>
      </c>
      <c r="M2267" s="1520">
        <v>0</v>
      </c>
      <c r="N2267" s="1520">
        <v>0</v>
      </c>
      <c r="O2267" s="1521">
        <v>0</v>
      </c>
    </row>
    <row r="2268" spans="3:15" ht="13.5">
      <c r="C2268" s="1526" t="s">
        <v>6226</v>
      </c>
      <c r="D2268" s="1523">
        <v>0</v>
      </c>
      <c r="E2268" s="1523">
        <v>0</v>
      </c>
      <c r="F2268" s="1524">
        <v>0</v>
      </c>
      <c r="G2268" s="1537" t="s">
        <v>6226</v>
      </c>
      <c r="H2268" s="1521">
        <v>0</v>
      </c>
      <c r="I2268" s="1521">
        <v>1</v>
      </c>
      <c r="J2268" s="1538">
        <v>1</v>
      </c>
      <c r="K2268" s="1525"/>
      <c r="L2268" s="1519">
        <v>13307960100</v>
      </c>
      <c r="M2268" s="1520">
        <v>0</v>
      </c>
      <c r="N2268" s="1520">
        <v>1</v>
      </c>
      <c r="O2268" s="1521">
        <v>1</v>
      </c>
    </row>
    <row r="2269" spans="3:15" ht="13.5">
      <c r="C2269" s="1526" t="s">
        <v>6227</v>
      </c>
      <c r="D2269" s="1523">
        <v>0</v>
      </c>
      <c r="E2269" s="1523">
        <v>0</v>
      </c>
      <c r="F2269" s="1524">
        <v>0</v>
      </c>
      <c r="G2269" s="1537" t="s">
        <v>6227</v>
      </c>
      <c r="H2269" s="1521">
        <v>0</v>
      </c>
      <c r="I2269" s="1521">
        <v>0</v>
      </c>
      <c r="J2269" s="1538">
        <v>0</v>
      </c>
      <c r="K2269" s="1525"/>
      <c r="L2269" s="1519">
        <v>13307960200</v>
      </c>
      <c r="M2269" s="1520">
        <v>0</v>
      </c>
      <c r="N2269" s="1520">
        <v>0</v>
      </c>
      <c r="O2269" s="1521">
        <v>0</v>
      </c>
    </row>
    <row r="2270" spans="3:15" ht="13.5">
      <c r="C2270" s="1526" t="s">
        <v>6228</v>
      </c>
      <c r="D2270" s="1523">
        <v>0</v>
      </c>
      <c r="E2270" s="1523">
        <v>0</v>
      </c>
      <c r="F2270" s="1524">
        <v>0</v>
      </c>
      <c r="G2270" s="1537" t="s">
        <v>6228</v>
      </c>
      <c r="H2270" s="1521">
        <v>0</v>
      </c>
      <c r="I2270" s="1521">
        <v>0</v>
      </c>
      <c r="J2270" s="1538">
        <v>0</v>
      </c>
      <c r="K2270" s="1525"/>
      <c r="L2270" s="1519">
        <v>13309780100</v>
      </c>
      <c r="M2270" s="1520">
        <v>0</v>
      </c>
      <c r="N2270" s="1520">
        <v>0</v>
      </c>
      <c r="O2270" s="1521">
        <v>0</v>
      </c>
    </row>
    <row r="2271" spans="3:15" ht="13.5">
      <c r="C2271" s="1526" t="s">
        <v>6229</v>
      </c>
      <c r="D2271" s="1523">
        <v>0</v>
      </c>
      <c r="E2271" s="1523">
        <v>0</v>
      </c>
      <c r="F2271" s="1524">
        <v>0</v>
      </c>
      <c r="G2271" s="1537" t="s">
        <v>6229</v>
      </c>
      <c r="H2271" s="1521">
        <v>0</v>
      </c>
      <c r="I2271" s="1521">
        <v>1</v>
      </c>
      <c r="J2271" s="1538">
        <v>1</v>
      </c>
      <c r="K2271" s="1525"/>
      <c r="L2271" s="1519">
        <v>13309780200</v>
      </c>
      <c r="M2271" s="1520">
        <v>0</v>
      </c>
      <c r="N2271" s="1520">
        <v>1</v>
      </c>
      <c r="O2271" s="1521">
        <v>1</v>
      </c>
    </row>
    <row r="2272" spans="3:15" ht="13.5">
      <c r="C2272" s="1526" t="s">
        <v>6230</v>
      </c>
      <c r="D2272" s="1523">
        <v>1</v>
      </c>
      <c r="E2272" s="1523">
        <v>0</v>
      </c>
      <c r="F2272" s="1524">
        <v>1</v>
      </c>
      <c r="G2272" s="1537" t="s">
        <v>6230</v>
      </c>
      <c r="H2272" s="1521">
        <v>1</v>
      </c>
      <c r="I2272" s="1521">
        <v>0</v>
      </c>
      <c r="J2272" s="1538">
        <v>1</v>
      </c>
      <c r="K2272" s="1525"/>
      <c r="L2272" s="1519">
        <v>13311950100</v>
      </c>
      <c r="M2272" s="1520">
        <v>1</v>
      </c>
      <c r="N2272" s="1520">
        <v>0</v>
      </c>
      <c r="O2272" s="1521">
        <v>1</v>
      </c>
    </row>
    <row r="2273" spans="3:15" ht="13.5">
      <c r="C2273" s="1526" t="s">
        <v>6231</v>
      </c>
      <c r="D2273" s="1523">
        <v>0</v>
      </c>
      <c r="E2273" s="1523">
        <v>0</v>
      </c>
      <c r="F2273" s="1524">
        <v>0</v>
      </c>
      <c r="G2273" s="1537" t="s">
        <v>6231</v>
      </c>
      <c r="H2273" s="1521">
        <v>0</v>
      </c>
      <c r="I2273" s="1521">
        <v>0</v>
      </c>
      <c r="J2273" s="1538">
        <v>0</v>
      </c>
      <c r="K2273" s="1525"/>
      <c r="L2273" s="1519">
        <v>13311950201</v>
      </c>
      <c r="M2273" s="1520">
        <v>0</v>
      </c>
      <c r="N2273" s="1520">
        <v>0</v>
      </c>
      <c r="O2273" s="1521">
        <v>0</v>
      </c>
    </row>
    <row r="2274" spans="3:15" ht="13.5">
      <c r="C2274" s="1526" t="s">
        <v>6232</v>
      </c>
      <c r="D2274" s="1523">
        <v>1</v>
      </c>
      <c r="E2274" s="1523">
        <v>1</v>
      </c>
      <c r="F2274" s="1524">
        <v>2</v>
      </c>
      <c r="G2274" s="1537" t="s">
        <v>6232</v>
      </c>
      <c r="H2274" s="1521">
        <v>0</v>
      </c>
      <c r="I2274" s="1521">
        <v>1</v>
      </c>
      <c r="J2274" s="1538">
        <v>1</v>
      </c>
      <c r="K2274" s="1525"/>
      <c r="L2274" s="1519">
        <v>13311950202</v>
      </c>
      <c r="M2274" s="1520">
        <v>1</v>
      </c>
      <c r="N2274" s="1520">
        <v>1</v>
      </c>
      <c r="O2274" s="1521">
        <v>2</v>
      </c>
    </row>
    <row r="2275" spans="3:15" ht="13.5">
      <c r="C2275" s="1526" t="s">
        <v>6233</v>
      </c>
      <c r="D2275" s="1523">
        <v>1</v>
      </c>
      <c r="E2275" s="1523">
        <v>0</v>
      </c>
      <c r="F2275" s="1524">
        <v>1</v>
      </c>
      <c r="G2275" s="1537" t="s">
        <v>6233</v>
      </c>
      <c r="H2275" s="1521">
        <v>0</v>
      </c>
      <c r="I2275" s="1521">
        <v>1</v>
      </c>
      <c r="J2275" s="1538">
        <v>1</v>
      </c>
      <c r="K2275" s="1525"/>
      <c r="L2275" s="1519">
        <v>13311950203</v>
      </c>
      <c r="M2275" s="1520">
        <v>1</v>
      </c>
      <c r="N2275" s="1520">
        <v>1</v>
      </c>
      <c r="O2275" s="1521">
        <v>1</v>
      </c>
    </row>
    <row r="2276" spans="3:15" ht="13.5">
      <c r="C2276" s="1526" t="s">
        <v>6234</v>
      </c>
      <c r="D2276" s="1523">
        <v>0</v>
      </c>
      <c r="E2276" s="1523">
        <v>1</v>
      </c>
      <c r="F2276" s="1524">
        <v>1</v>
      </c>
      <c r="G2276" s="1537" t="s">
        <v>6234</v>
      </c>
      <c r="H2276" s="1521">
        <v>0</v>
      </c>
      <c r="I2276" s="1521">
        <v>1</v>
      </c>
      <c r="J2276" s="1538">
        <v>1</v>
      </c>
      <c r="K2276" s="1525"/>
      <c r="L2276" s="1519">
        <v>13311950300</v>
      </c>
      <c r="M2276" s="1520">
        <v>0</v>
      </c>
      <c r="N2276" s="1520">
        <v>1</v>
      </c>
      <c r="O2276" s="1521">
        <v>1</v>
      </c>
    </row>
    <row r="2277" spans="3:15" ht="13.5">
      <c r="C2277" s="1526" t="s">
        <v>6235</v>
      </c>
      <c r="D2277" s="1523">
        <v>0</v>
      </c>
      <c r="E2277" s="1523">
        <v>0</v>
      </c>
      <c r="F2277" s="1524">
        <v>0</v>
      </c>
      <c r="G2277" s="1537" t="s">
        <v>6235</v>
      </c>
      <c r="H2277" s="1521">
        <v>0</v>
      </c>
      <c r="I2277" s="1521">
        <v>1</v>
      </c>
      <c r="J2277" s="1538">
        <v>1</v>
      </c>
      <c r="K2277" s="1525"/>
      <c r="L2277" s="1519">
        <v>13313000101</v>
      </c>
      <c r="M2277" s="1520">
        <v>0</v>
      </c>
      <c r="N2277" s="1520">
        <v>1</v>
      </c>
      <c r="O2277" s="1521">
        <v>1</v>
      </c>
    </row>
    <row r="2278" spans="3:15" ht="13.5">
      <c r="C2278" s="1526" t="s">
        <v>6236</v>
      </c>
      <c r="D2278" s="1523">
        <v>0</v>
      </c>
      <c r="E2278" s="1523">
        <v>1</v>
      </c>
      <c r="F2278" s="1524">
        <v>1</v>
      </c>
      <c r="G2278" s="1537" t="s">
        <v>6236</v>
      </c>
      <c r="H2278" s="1521">
        <v>0</v>
      </c>
      <c r="I2278" s="1521">
        <v>0</v>
      </c>
      <c r="J2278" s="1538">
        <v>0</v>
      </c>
      <c r="K2278" s="1525"/>
      <c r="L2278" s="1519">
        <v>13313000102</v>
      </c>
      <c r="M2278" s="1520">
        <v>0</v>
      </c>
      <c r="N2278" s="1520">
        <v>1</v>
      </c>
      <c r="O2278" s="1521">
        <v>1</v>
      </c>
    </row>
    <row r="2279" spans="3:15" ht="13.5">
      <c r="C2279" s="1526" t="s">
        <v>6237</v>
      </c>
      <c r="D2279" s="1523">
        <v>0</v>
      </c>
      <c r="E2279" s="1523">
        <v>1</v>
      </c>
      <c r="F2279" s="1524">
        <v>1</v>
      </c>
      <c r="G2279" s="1537" t="s">
        <v>6237</v>
      </c>
      <c r="H2279" s="1521">
        <v>0</v>
      </c>
      <c r="I2279" s="1521">
        <v>1</v>
      </c>
      <c r="J2279" s="1538">
        <v>1</v>
      </c>
      <c r="K2279" s="1525"/>
      <c r="L2279" s="1519">
        <v>13313000200</v>
      </c>
      <c r="M2279" s="1520">
        <v>0</v>
      </c>
      <c r="N2279" s="1520">
        <v>1</v>
      </c>
      <c r="O2279" s="1521">
        <v>1</v>
      </c>
    </row>
    <row r="2280" spans="3:15" ht="13.5">
      <c r="C2280" s="1526" t="s">
        <v>6238</v>
      </c>
      <c r="D2280" s="1523">
        <v>0</v>
      </c>
      <c r="E2280" s="1523">
        <v>0</v>
      </c>
      <c r="F2280" s="1524">
        <v>0</v>
      </c>
      <c r="G2280" s="1537" t="s">
        <v>6238</v>
      </c>
      <c r="H2280" s="1521">
        <v>0</v>
      </c>
      <c r="I2280" s="1521">
        <v>0</v>
      </c>
      <c r="J2280" s="1538">
        <v>0</v>
      </c>
      <c r="K2280" s="1525"/>
      <c r="L2280" s="1519">
        <v>13313000301</v>
      </c>
      <c r="M2280" s="1520">
        <v>0</v>
      </c>
      <c r="N2280" s="1520">
        <v>0</v>
      </c>
      <c r="O2280" s="1521">
        <v>0</v>
      </c>
    </row>
    <row r="2281" spans="3:15" ht="13.5">
      <c r="C2281" s="1526" t="s">
        <v>6239</v>
      </c>
      <c r="D2281" s="1523">
        <v>0</v>
      </c>
      <c r="E2281" s="1523">
        <v>1</v>
      </c>
      <c r="F2281" s="1524">
        <v>1</v>
      </c>
      <c r="G2281" s="1537" t="s">
        <v>6239</v>
      </c>
      <c r="H2281" s="1521">
        <v>1</v>
      </c>
      <c r="I2281" s="1521">
        <v>1</v>
      </c>
      <c r="J2281" s="1538">
        <v>2</v>
      </c>
      <c r="K2281" s="1525"/>
      <c r="L2281" s="1519">
        <v>13313000302</v>
      </c>
      <c r="M2281" s="1520">
        <v>1</v>
      </c>
      <c r="N2281" s="1520">
        <v>1</v>
      </c>
      <c r="O2281" s="1521">
        <v>2</v>
      </c>
    </row>
    <row r="2282" spans="3:15" ht="13.5">
      <c r="C2282" s="1526" t="s">
        <v>6240</v>
      </c>
      <c r="D2282" s="1523">
        <v>0</v>
      </c>
      <c r="E2282" s="1523">
        <v>0</v>
      </c>
      <c r="F2282" s="1524">
        <v>0</v>
      </c>
      <c r="G2282" s="1537" t="s">
        <v>6240</v>
      </c>
      <c r="H2282" s="1521">
        <v>0</v>
      </c>
      <c r="I2282" s="1521">
        <v>0</v>
      </c>
      <c r="J2282" s="1538">
        <v>0</v>
      </c>
      <c r="K2282" s="1525"/>
      <c r="L2282" s="1519">
        <v>13313000400</v>
      </c>
      <c r="M2282" s="1520">
        <v>0</v>
      </c>
      <c r="N2282" s="1520">
        <v>0</v>
      </c>
      <c r="O2282" s="1521">
        <v>0</v>
      </c>
    </row>
    <row r="2283" spans="3:15" ht="13.5">
      <c r="C2283" s="1526" t="s">
        <v>6241</v>
      </c>
      <c r="D2283" s="1523">
        <v>1</v>
      </c>
      <c r="E2283" s="1523">
        <v>0</v>
      </c>
      <c r="F2283" s="1524">
        <v>1</v>
      </c>
      <c r="G2283" s="1537" t="s">
        <v>6241</v>
      </c>
      <c r="H2283" s="1521">
        <v>1</v>
      </c>
      <c r="I2283" s="1521">
        <v>1</v>
      </c>
      <c r="J2283" s="1538">
        <v>2</v>
      </c>
      <c r="K2283" s="1525"/>
      <c r="L2283" s="1519">
        <v>13313000501</v>
      </c>
      <c r="M2283" s="1520">
        <v>1</v>
      </c>
      <c r="N2283" s="1520">
        <v>1</v>
      </c>
      <c r="O2283" s="1521">
        <v>2</v>
      </c>
    </row>
    <row r="2284" spans="3:15" ht="13.5">
      <c r="C2284" s="1526" t="s">
        <v>6242</v>
      </c>
      <c r="D2284" s="1523">
        <v>0</v>
      </c>
      <c r="E2284" s="1523">
        <v>0</v>
      </c>
      <c r="F2284" s="1524">
        <v>0</v>
      </c>
      <c r="G2284" s="1537" t="s">
        <v>6242</v>
      </c>
      <c r="H2284" s="1521">
        <v>0</v>
      </c>
      <c r="I2284" s="1521">
        <v>0</v>
      </c>
      <c r="J2284" s="1538">
        <v>0</v>
      </c>
      <c r="K2284" s="1525"/>
      <c r="L2284" s="1519">
        <v>13313000502</v>
      </c>
      <c r="M2284" s="1520">
        <v>0</v>
      </c>
      <c r="N2284" s="1520">
        <v>0</v>
      </c>
      <c r="O2284" s="1521">
        <v>0</v>
      </c>
    </row>
    <row r="2285" spans="3:15" ht="13.5">
      <c r="C2285" s="1526" t="s">
        <v>6243</v>
      </c>
      <c r="D2285" s="1523">
        <v>0</v>
      </c>
      <c r="E2285" s="1523">
        <v>1</v>
      </c>
      <c r="F2285" s="1524">
        <v>1</v>
      </c>
      <c r="G2285" s="1537" t="s">
        <v>6243</v>
      </c>
      <c r="H2285" s="1521">
        <v>0</v>
      </c>
      <c r="I2285" s="1521">
        <v>0</v>
      </c>
      <c r="J2285" s="1538">
        <v>0</v>
      </c>
      <c r="K2285" s="1525"/>
      <c r="L2285" s="1519">
        <v>13313000600</v>
      </c>
      <c r="M2285" s="1520">
        <v>0</v>
      </c>
      <c r="N2285" s="1520">
        <v>1</v>
      </c>
      <c r="O2285" s="1521">
        <v>1</v>
      </c>
    </row>
    <row r="2286" spans="3:15" ht="13.5">
      <c r="C2286" s="1526" t="s">
        <v>6244</v>
      </c>
      <c r="D2286" s="1523">
        <v>0</v>
      </c>
      <c r="E2286" s="1523">
        <v>1</v>
      </c>
      <c r="F2286" s="1524">
        <v>1</v>
      </c>
      <c r="G2286" s="1537" t="s">
        <v>6244</v>
      </c>
      <c r="H2286" s="1521">
        <v>0</v>
      </c>
      <c r="I2286" s="1521">
        <v>1</v>
      </c>
      <c r="J2286" s="1538">
        <v>1</v>
      </c>
      <c r="K2286" s="1525"/>
      <c r="L2286" s="1519">
        <v>13313000700</v>
      </c>
      <c r="M2286" s="1520">
        <v>0</v>
      </c>
      <c r="N2286" s="1520">
        <v>1</v>
      </c>
      <c r="O2286" s="1521">
        <v>1</v>
      </c>
    </row>
    <row r="2287" spans="3:15" ht="13.5">
      <c r="C2287" s="1526" t="s">
        <v>6245</v>
      </c>
      <c r="D2287" s="1523">
        <v>1</v>
      </c>
      <c r="E2287" s="1523">
        <v>0</v>
      </c>
      <c r="F2287" s="1524">
        <v>1</v>
      </c>
      <c r="G2287" s="1537" t="s">
        <v>6245</v>
      </c>
      <c r="H2287" s="1521">
        <v>1</v>
      </c>
      <c r="I2287" s="1521">
        <v>0</v>
      </c>
      <c r="J2287" s="1538">
        <v>1</v>
      </c>
      <c r="K2287" s="1525"/>
      <c r="L2287" s="1519">
        <v>13313000800</v>
      </c>
      <c r="M2287" s="1520">
        <v>1</v>
      </c>
      <c r="N2287" s="1520">
        <v>0</v>
      </c>
      <c r="O2287" s="1521">
        <v>1</v>
      </c>
    </row>
    <row r="2288" spans="3:15" ht="13.5">
      <c r="C2288" s="1526" t="s">
        <v>6246</v>
      </c>
      <c r="D2288" s="1523">
        <v>1</v>
      </c>
      <c r="E2288" s="1523">
        <v>1</v>
      </c>
      <c r="F2288" s="1524">
        <v>2</v>
      </c>
      <c r="G2288" s="1537" t="s">
        <v>6246</v>
      </c>
      <c r="H2288" s="1521">
        <v>1</v>
      </c>
      <c r="I2288" s="1521">
        <v>1</v>
      </c>
      <c r="J2288" s="1538">
        <v>2</v>
      </c>
      <c r="K2288" s="1525"/>
      <c r="L2288" s="1519">
        <v>13313000900</v>
      </c>
      <c r="M2288" s="1520">
        <v>1</v>
      </c>
      <c r="N2288" s="1520">
        <v>1</v>
      </c>
      <c r="O2288" s="1521">
        <v>2</v>
      </c>
    </row>
    <row r="2289" spans="3:15" ht="13.5">
      <c r="C2289" s="1526" t="s">
        <v>6247</v>
      </c>
      <c r="D2289" s="1523">
        <v>0</v>
      </c>
      <c r="E2289" s="1523">
        <v>0</v>
      </c>
      <c r="F2289" s="1524">
        <v>0</v>
      </c>
      <c r="G2289" s="1537" t="s">
        <v>6247</v>
      </c>
      <c r="H2289" s="1521">
        <v>1</v>
      </c>
      <c r="I2289" s="1521">
        <v>0</v>
      </c>
      <c r="J2289" s="1538">
        <v>0</v>
      </c>
      <c r="K2289" s="1525"/>
      <c r="L2289" s="1519">
        <v>13313001000</v>
      </c>
      <c r="M2289" s="1520">
        <v>1</v>
      </c>
      <c r="N2289" s="1520">
        <v>0</v>
      </c>
      <c r="O2289" s="1521">
        <v>0</v>
      </c>
    </row>
    <row r="2290" spans="3:15" ht="13.5">
      <c r="C2290" s="1526" t="s">
        <v>6248</v>
      </c>
      <c r="D2290" s="1523">
        <v>0</v>
      </c>
      <c r="E2290" s="1523">
        <v>0</v>
      </c>
      <c r="F2290" s="1524">
        <v>0</v>
      </c>
      <c r="G2290" s="1537" t="s">
        <v>6248</v>
      </c>
      <c r="H2290" s="1521">
        <v>0</v>
      </c>
      <c r="I2290" s="1521">
        <v>0</v>
      </c>
      <c r="J2290" s="1538">
        <v>0</v>
      </c>
      <c r="K2290" s="1525"/>
      <c r="L2290" s="1519">
        <v>13313001100</v>
      </c>
      <c r="M2290" s="1520">
        <v>0</v>
      </c>
      <c r="N2290" s="1520">
        <v>0</v>
      </c>
      <c r="O2290" s="1521">
        <v>0</v>
      </c>
    </row>
    <row r="2291" spans="3:15" ht="13.5">
      <c r="C2291" s="1526" t="s">
        <v>6249</v>
      </c>
      <c r="D2291" s="1523">
        <v>0</v>
      </c>
      <c r="E2291" s="1523">
        <v>0</v>
      </c>
      <c r="F2291" s="1524">
        <v>0</v>
      </c>
      <c r="G2291" s="1537" t="s">
        <v>6249</v>
      </c>
      <c r="H2291" s="1521">
        <v>0</v>
      </c>
      <c r="I2291" s="1521">
        <v>0</v>
      </c>
      <c r="J2291" s="1538">
        <v>0</v>
      </c>
      <c r="K2291" s="1525"/>
      <c r="L2291" s="1519">
        <v>13313001200</v>
      </c>
      <c r="M2291" s="1520">
        <v>0</v>
      </c>
      <c r="N2291" s="1520">
        <v>0</v>
      </c>
      <c r="O2291" s="1521">
        <v>0</v>
      </c>
    </row>
    <row r="2292" spans="3:15" ht="13.5">
      <c r="C2292" s="1526" t="s">
        <v>6250</v>
      </c>
      <c r="D2292" s="1523">
        <v>0</v>
      </c>
      <c r="E2292" s="1523">
        <v>0</v>
      </c>
      <c r="F2292" s="1524">
        <v>0</v>
      </c>
      <c r="G2292" s="1537" t="s">
        <v>6250</v>
      </c>
      <c r="H2292" s="1521">
        <v>0</v>
      </c>
      <c r="I2292" s="1521">
        <v>0</v>
      </c>
      <c r="J2292" s="1538">
        <v>0</v>
      </c>
      <c r="K2292" s="1525"/>
      <c r="L2292" s="1519">
        <v>13313001300</v>
      </c>
      <c r="M2292" s="1520">
        <v>0</v>
      </c>
      <c r="N2292" s="1520">
        <v>0</v>
      </c>
      <c r="O2292" s="1521">
        <v>0</v>
      </c>
    </row>
    <row r="2293" spans="3:15" ht="13.5">
      <c r="C2293" s="1526" t="s">
        <v>6251</v>
      </c>
      <c r="D2293" s="1523">
        <v>0</v>
      </c>
      <c r="E2293" s="1523">
        <v>0</v>
      </c>
      <c r="F2293" s="1524">
        <v>0</v>
      </c>
      <c r="G2293" s="1537" t="s">
        <v>6251</v>
      </c>
      <c r="H2293" s="1521">
        <v>0</v>
      </c>
      <c r="I2293" s="1521">
        <v>0</v>
      </c>
      <c r="J2293" s="1538">
        <v>0</v>
      </c>
      <c r="K2293" s="1525"/>
      <c r="L2293" s="1519">
        <v>13313001400</v>
      </c>
      <c r="M2293" s="1520">
        <v>0</v>
      </c>
      <c r="N2293" s="1520">
        <v>0</v>
      </c>
      <c r="O2293" s="1521">
        <v>0</v>
      </c>
    </row>
    <row r="2294" spans="3:15" ht="13.5">
      <c r="C2294" s="1526" t="s">
        <v>6252</v>
      </c>
      <c r="D2294" s="1523">
        <v>1</v>
      </c>
      <c r="E2294" s="1523">
        <v>0</v>
      </c>
      <c r="F2294" s="1524">
        <v>1</v>
      </c>
      <c r="G2294" s="1537" t="s">
        <v>6252</v>
      </c>
      <c r="H2294" s="1521">
        <v>0</v>
      </c>
      <c r="I2294" s="1521">
        <v>0</v>
      </c>
      <c r="J2294" s="1538">
        <v>0</v>
      </c>
      <c r="K2294" s="1525"/>
      <c r="L2294" s="1519">
        <v>13313001500</v>
      </c>
      <c r="M2294" s="1520">
        <v>1</v>
      </c>
      <c r="N2294" s="1520">
        <v>0</v>
      </c>
      <c r="O2294" s="1521">
        <v>1</v>
      </c>
    </row>
    <row r="2295" spans="3:15" ht="13.5">
      <c r="C2295" s="1526" t="s">
        <v>6253</v>
      </c>
      <c r="D2295" s="1523">
        <v>0</v>
      </c>
      <c r="E2295" s="1523">
        <v>0</v>
      </c>
      <c r="F2295" s="1524">
        <v>0</v>
      </c>
      <c r="G2295" s="1537" t="s">
        <v>6253</v>
      </c>
      <c r="H2295" s="1521">
        <v>0</v>
      </c>
      <c r="I2295" s="1521">
        <v>0</v>
      </c>
      <c r="J2295" s="1538">
        <v>0</v>
      </c>
      <c r="K2295" s="1525"/>
      <c r="L2295" s="1519">
        <v>13315960100</v>
      </c>
      <c r="M2295" s="1520">
        <v>0</v>
      </c>
      <c r="N2295" s="1520">
        <v>0</v>
      </c>
      <c r="O2295" s="1521">
        <v>0</v>
      </c>
    </row>
    <row r="2296" spans="3:15" ht="13.5">
      <c r="C2296" s="1526" t="s">
        <v>6254</v>
      </c>
      <c r="D2296" s="1523">
        <v>0</v>
      </c>
      <c r="E2296" s="1523">
        <v>0</v>
      </c>
      <c r="F2296" s="1524">
        <v>0</v>
      </c>
      <c r="G2296" s="1537" t="s">
        <v>6254</v>
      </c>
      <c r="H2296" s="1521">
        <v>0</v>
      </c>
      <c r="I2296" s="1521">
        <v>0</v>
      </c>
      <c r="J2296" s="1538">
        <v>0</v>
      </c>
      <c r="K2296" s="1525"/>
      <c r="L2296" s="1519">
        <v>13315960200</v>
      </c>
      <c r="M2296" s="1520">
        <v>0</v>
      </c>
      <c r="N2296" s="1520">
        <v>0</v>
      </c>
      <c r="O2296" s="1521">
        <v>0</v>
      </c>
    </row>
    <row r="2297" spans="3:15" ht="13.5">
      <c r="C2297" s="1526" t="s">
        <v>6255</v>
      </c>
      <c r="D2297" s="1523">
        <v>0</v>
      </c>
      <c r="E2297" s="1523">
        <v>0</v>
      </c>
      <c r="F2297" s="1524">
        <v>0</v>
      </c>
      <c r="G2297" s="1537" t="s">
        <v>6255</v>
      </c>
      <c r="H2297" s="1521">
        <v>0</v>
      </c>
      <c r="I2297" s="1521">
        <v>0</v>
      </c>
      <c r="J2297" s="1538">
        <v>0</v>
      </c>
      <c r="K2297" s="1525"/>
      <c r="L2297" s="1519">
        <v>13315960300</v>
      </c>
      <c r="M2297" s="1520">
        <v>0</v>
      </c>
      <c r="N2297" s="1520">
        <v>0</v>
      </c>
      <c r="O2297" s="1521">
        <v>0</v>
      </c>
    </row>
    <row r="2298" spans="3:15" ht="13.5">
      <c r="C2298" s="1526" t="s">
        <v>6256</v>
      </c>
      <c r="D2298" s="1523">
        <v>0</v>
      </c>
      <c r="E2298" s="1523">
        <v>0</v>
      </c>
      <c r="F2298" s="1524">
        <v>0</v>
      </c>
      <c r="G2298" s="1537" t="s">
        <v>6256</v>
      </c>
      <c r="H2298" s="1521">
        <v>0</v>
      </c>
      <c r="I2298" s="1521">
        <v>0</v>
      </c>
      <c r="J2298" s="1538">
        <v>0</v>
      </c>
      <c r="K2298" s="1525"/>
      <c r="L2298" s="1519">
        <v>13315960400</v>
      </c>
      <c r="M2298" s="1520">
        <v>0</v>
      </c>
      <c r="N2298" s="1520">
        <v>0</v>
      </c>
      <c r="O2298" s="1521">
        <v>0</v>
      </c>
    </row>
    <row r="2299" spans="3:15" ht="13.5">
      <c r="C2299" s="1526" t="s">
        <v>6257</v>
      </c>
      <c r="D2299" s="1523">
        <v>0</v>
      </c>
      <c r="E2299" s="1523">
        <v>0</v>
      </c>
      <c r="F2299" s="1524">
        <v>0</v>
      </c>
      <c r="G2299" s="1537" t="s">
        <v>6257</v>
      </c>
      <c r="H2299" s="1521">
        <v>0</v>
      </c>
      <c r="I2299" s="1521">
        <v>1</v>
      </c>
      <c r="J2299" s="1538">
        <v>1</v>
      </c>
      <c r="K2299" s="1525"/>
      <c r="L2299" s="1519">
        <v>13317010101</v>
      </c>
      <c r="M2299" s="1520">
        <v>0</v>
      </c>
      <c r="N2299" s="1520">
        <v>1</v>
      </c>
      <c r="O2299" s="1521">
        <v>1</v>
      </c>
    </row>
    <row r="2300" spans="3:15" ht="13.5">
      <c r="C2300" s="1526" t="s">
        <v>6258</v>
      </c>
      <c r="D2300" s="1523">
        <v>0</v>
      </c>
      <c r="E2300" s="1523">
        <v>0</v>
      </c>
      <c r="F2300" s="1524">
        <v>0</v>
      </c>
      <c r="G2300" s="1537" t="s">
        <v>6258</v>
      </c>
      <c r="H2300" s="1521">
        <v>0</v>
      </c>
      <c r="I2300" s="1521">
        <v>0</v>
      </c>
      <c r="J2300" s="1538">
        <v>0</v>
      </c>
      <c r="K2300" s="1525"/>
      <c r="L2300" s="1519">
        <v>13317010102</v>
      </c>
      <c r="M2300" s="1520">
        <v>0</v>
      </c>
      <c r="N2300" s="1520">
        <v>0</v>
      </c>
      <c r="O2300" s="1521">
        <v>0</v>
      </c>
    </row>
    <row r="2301" spans="3:15" ht="13.5">
      <c r="C2301" s="1526" t="s">
        <v>6259</v>
      </c>
      <c r="D2301" s="1523">
        <v>1</v>
      </c>
      <c r="E2301" s="1523">
        <v>0</v>
      </c>
      <c r="F2301" s="1524">
        <v>1</v>
      </c>
      <c r="G2301" s="1537" t="s">
        <v>6259</v>
      </c>
      <c r="H2301" s="1521">
        <v>0</v>
      </c>
      <c r="I2301" s="1521">
        <v>0</v>
      </c>
      <c r="J2301" s="1538">
        <v>0</v>
      </c>
      <c r="K2301" s="1525"/>
      <c r="L2301" s="1519">
        <v>13317010301</v>
      </c>
      <c r="M2301" s="1520">
        <v>1</v>
      </c>
      <c r="N2301" s="1520">
        <v>0</v>
      </c>
      <c r="O2301" s="1521">
        <v>1</v>
      </c>
    </row>
    <row r="2302" spans="3:15" ht="13.5">
      <c r="C2302" s="1526" t="s">
        <v>6260</v>
      </c>
      <c r="D2302" s="1523">
        <v>0</v>
      </c>
      <c r="E2302" s="1523">
        <v>0</v>
      </c>
      <c r="F2302" s="1524">
        <v>0</v>
      </c>
      <c r="G2302" s="1537" t="s">
        <v>6260</v>
      </c>
      <c r="H2302" s="1521">
        <v>0</v>
      </c>
      <c r="I2302" s="1521">
        <v>0</v>
      </c>
      <c r="J2302" s="1538">
        <v>0</v>
      </c>
      <c r="K2302" s="1525"/>
      <c r="L2302" s="1519">
        <v>13317010302</v>
      </c>
      <c r="M2302" s="1520">
        <v>0</v>
      </c>
      <c r="N2302" s="1520">
        <v>0</v>
      </c>
      <c r="O2302" s="1521">
        <v>0</v>
      </c>
    </row>
    <row r="2303" spans="3:15" ht="13.5">
      <c r="C2303" s="1526" t="s">
        <v>6261</v>
      </c>
      <c r="D2303" s="1523">
        <v>0</v>
      </c>
      <c r="E2303" s="1523">
        <v>0</v>
      </c>
      <c r="F2303" s="1524">
        <v>0</v>
      </c>
      <c r="G2303" s="1537" t="s">
        <v>6261</v>
      </c>
      <c r="H2303" s="1521">
        <v>0</v>
      </c>
      <c r="I2303" s="1521">
        <v>0</v>
      </c>
      <c r="J2303" s="1538">
        <v>0</v>
      </c>
      <c r="K2303" s="1525"/>
      <c r="L2303" s="1519">
        <v>13319960200</v>
      </c>
      <c r="M2303" s="1520">
        <v>0</v>
      </c>
      <c r="N2303" s="1520">
        <v>0</v>
      </c>
      <c r="O2303" s="1521">
        <v>0</v>
      </c>
    </row>
    <row r="2304" spans="3:15" ht="13.5">
      <c r="C2304" s="1526" t="s">
        <v>6262</v>
      </c>
      <c r="D2304" s="1523">
        <v>0</v>
      </c>
      <c r="E2304" s="1523">
        <v>0</v>
      </c>
      <c r="F2304" s="1524">
        <v>0</v>
      </c>
      <c r="G2304" s="1537" t="s">
        <v>6262</v>
      </c>
      <c r="H2304" s="1521">
        <v>0</v>
      </c>
      <c r="I2304" s="1521">
        <v>1</v>
      </c>
      <c r="J2304" s="1538">
        <v>1</v>
      </c>
      <c r="K2304" s="1525"/>
      <c r="L2304" s="1519">
        <v>13319960300</v>
      </c>
      <c r="M2304" s="1520">
        <v>0</v>
      </c>
      <c r="N2304" s="1520">
        <v>1</v>
      </c>
      <c r="O2304" s="1521">
        <v>1</v>
      </c>
    </row>
    <row r="2305" spans="3:15" ht="13.5">
      <c r="C2305" s="1526" t="s">
        <v>6263</v>
      </c>
      <c r="D2305" s="1523">
        <v>0</v>
      </c>
      <c r="E2305" s="1523">
        <v>0</v>
      </c>
      <c r="F2305" s="1524">
        <v>0</v>
      </c>
      <c r="G2305" s="1537" t="s">
        <v>6263</v>
      </c>
      <c r="H2305" s="1521">
        <v>0</v>
      </c>
      <c r="I2305" s="1521">
        <v>0</v>
      </c>
      <c r="J2305" s="1538">
        <v>0</v>
      </c>
      <c r="K2305" s="1525"/>
      <c r="L2305" s="1519">
        <v>13319960400</v>
      </c>
      <c r="M2305" s="1520">
        <v>0</v>
      </c>
      <c r="N2305" s="1520">
        <v>0</v>
      </c>
      <c r="O2305" s="1521">
        <v>0</v>
      </c>
    </row>
    <row r="2306" spans="3:15" ht="13.5">
      <c r="C2306" s="1526" t="s">
        <v>6264</v>
      </c>
      <c r="D2306" s="1523">
        <v>0</v>
      </c>
      <c r="E2306" s="1523">
        <v>0</v>
      </c>
      <c r="F2306" s="1524">
        <v>0</v>
      </c>
      <c r="G2306" s="1537" t="s">
        <v>6264</v>
      </c>
      <c r="H2306" s="1521">
        <v>0</v>
      </c>
      <c r="I2306" s="1521">
        <v>0</v>
      </c>
      <c r="J2306" s="1538">
        <v>0</v>
      </c>
      <c r="K2306" s="1525"/>
      <c r="L2306" s="1519">
        <v>13321950100</v>
      </c>
      <c r="M2306" s="1520">
        <v>0</v>
      </c>
      <c r="N2306" s="1520">
        <v>0</v>
      </c>
      <c r="O2306" s="1521">
        <v>0</v>
      </c>
    </row>
    <row r="2307" spans="3:15" ht="13.5">
      <c r="C2307" s="1526" t="s">
        <v>6265</v>
      </c>
      <c r="D2307" s="1523">
        <v>0</v>
      </c>
      <c r="E2307" s="1523">
        <v>0</v>
      </c>
      <c r="F2307" s="1524">
        <v>0</v>
      </c>
      <c r="G2307" s="1537" t="s">
        <v>6265</v>
      </c>
      <c r="H2307" s="1521">
        <v>0</v>
      </c>
      <c r="I2307" s="1521">
        <v>0</v>
      </c>
      <c r="J2307" s="1538">
        <v>0</v>
      </c>
      <c r="K2307" s="1525"/>
      <c r="L2307" s="1519">
        <v>13321950200</v>
      </c>
      <c r="M2307" s="1520">
        <v>0</v>
      </c>
      <c r="N2307" s="1520">
        <v>0</v>
      </c>
      <c r="O2307" s="1521">
        <v>0</v>
      </c>
    </row>
    <row r="2308" spans="3:15" ht="13.5">
      <c r="C2308" s="1526" t="s">
        <v>6266</v>
      </c>
      <c r="D2308" s="1523">
        <v>0</v>
      </c>
      <c r="E2308" s="1523">
        <v>0</v>
      </c>
      <c r="F2308" s="1524">
        <v>0</v>
      </c>
      <c r="G2308" s="1537" t="s">
        <v>6266</v>
      </c>
      <c r="H2308" s="1521">
        <v>0</v>
      </c>
      <c r="I2308" s="1521">
        <v>0</v>
      </c>
      <c r="J2308" s="1538">
        <v>0</v>
      </c>
      <c r="K2308" s="1525"/>
      <c r="L2308" s="1519">
        <v>13321950400</v>
      </c>
      <c r="M2308" s="1520">
        <v>0</v>
      </c>
      <c r="N2308" s="1520">
        <v>0</v>
      </c>
      <c r="O2308" s="1521">
        <v>0</v>
      </c>
    </row>
    <row r="2309" spans="3:15" ht="13.5">
      <c r="C2309" s="1526" t="s">
        <v>6267</v>
      </c>
      <c r="D2309" s="1523">
        <v>0</v>
      </c>
      <c r="E2309" s="1523">
        <v>0</v>
      </c>
      <c r="F2309" s="1524">
        <v>0</v>
      </c>
      <c r="G2309" s="1537" t="s">
        <v>6267</v>
      </c>
      <c r="H2309" s="1521">
        <v>0</v>
      </c>
      <c r="I2309" s="1521">
        <v>0</v>
      </c>
      <c r="J2309" s="1538">
        <v>0</v>
      </c>
      <c r="K2309" s="1525"/>
      <c r="L2309" s="1519">
        <v>13321950500</v>
      </c>
      <c r="M2309" s="1520">
        <v>0</v>
      </c>
      <c r="N2309" s="1520">
        <v>0</v>
      </c>
      <c r="O2309" s="1521">
        <v>0</v>
      </c>
    </row>
    <row r="2310" spans="3:15" ht="13.5">
      <c r="C2310" s="1527" t="s">
        <v>6268</v>
      </c>
      <c r="D2310" s="1528">
        <v>0</v>
      </c>
      <c r="E2310" s="1528">
        <v>0</v>
      </c>
      <c r="F2310" s="1529">
        <v>0</v>
      </c>
      <c r="G2310" s="1539" t="s">
        <v>6268</v>
      </c>
      <c r="H2310" s="1540">
        <v>1</v>
      </c>
      <c r="I2310" s="1540">
        <v>0</v>
      </c>
      <c r="J2310" s="1541">
        <v>1</v>
      </c>
      <c r="K2310" s="1525"/>
      <c r="L2310" s="1519">
        <v>13321950600</v>
      </c>
      <c r="M2310" s="1520">
        <v>1</v>
      </c>
      <c r="N2310" s="1520">
        <v>0</v>
      </c>
      <c r="O2310" s="1521">
        <v>1</v>
      </c>
    </row>
  </sheetData>
  <sheetProtection algorithmName="SHA-512" hashValue="TVVE2m7e+dv+qe2kKBwv2bMlL/9Ov9qdrnobxjkfl5ntWWIVOZXlHj3AimkybLC5+tAoD/sIz2TGussx5sFrLw==" saltValue="Ms1s7ghv6VETLfFxph436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DFBAC3-02E2-415F-9B3E-B1030C7CCFB7}">
  <ds:schemaRefs>
    <ds:schemaRef ds:uri="http://schemas.microsoft.com/sharepoint/v3/contenttype/forms"/>
  </ds:schemaRefs>
</ds:datastoreItem>
</file>

<file path=customXml/itemProps2.xml><?xml version="1.0" encoding="utf-8"?>
<ds:datastoreItem xmlns:ds="http://schemas.openxmlformats.org/officeDocument/2006/customXml" ds:itemID="{9EC80419-C13D-4AB8-B75A-8166AD220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3068EE-A65E-4605-9B03-064258E7FB56}">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2021-05-19T20:40:53Z</cp:lastPrinted>
  <dcterms:created xsi:type="dcterms:W3CDTF">2005-09-15T20:51:37Z</dcterms:created>
  <dcterms:modified xsi:type="dcterms:W3CDTF">2021-10-07T16:07:05Z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